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6"/>
  <workbookPr codeName="ThisWorkbook" defaultThemeVersion="124226"/>
  <mc:AlternateContent xmlns:mc="http://schemas.openxmlformats.org/markup-compatibility/2006">
    <mc:Choice Requires="x15">
      <x15ac:absPath xmlns:x15ac="http://schemas.microsoft.com/office/spreadsheetml/2010/11/ac" url="C:\Users\318.OWANINT.000.001.002.003\Desktop\"/>
    </mc:Choice>
  </mc:AlternateContent>
  <xr:revisionPtr revIDLastSave="0" documentId="13_ncr:1_{D7181225-D968-47E5-9A41-9BFB113459C4}" xr6:coauthVersionLast="36" xr6:coauthVersionMax="47" xr10:uidLastSave="{00000000-0000-0000-0000-000000000000}"/>
  <bookViews>
    <workbookView xWindow="0" yWindow="0" windowWidth="20520" windowHeight="9360" xr2:uid="{00000000-000D-0000-FFFF-FFFF00000000}"/>
  </bookViews>
  <sheets>
    <sheet name="基本情報" sheetId="15" r:id="rId1"/>
    <sheet name="第１群" sheetId="9" r:id="rId2"/>
    <sheet name="第２群" sheetId="8" r:id="rId3"/>
    <sheet name="第３群" sheetId="7" r:id="rId4"/>
    <sheet name="第４群 " sheetId="12" r:id="rId5"/>
    <sheet name="第５群" sheetId="5" r:id="rId6"/>
    <sheet name="第６，７群 " sheetId="13" r:id="rId7"/>
    <sheet name="計算シート" sheetId="14" state="hidden" r:id="rId8"/>
    <sheet name="エラー" sheetId="10" state="hidden" r:id="rId9"/>
    <sheet name="印刷" sheetId="17" state="hidden" r:id="rId10"/>
    <sheet name="訪問調査票" sheetId="2" r:id="rId11"/>
    <sheet name="特記事項" sheetId="4" state="hidden" r:id="rId12"/>
    <sheet name="使用方法" sheetId="11" r:id="rId13"/>
  </sheets>
  <definedNames>
    <definedName name="_xlnm.Print_Area" localSheetId="10">訪問調査票!$A$1:$K$196</definedName>
    <definedName name="えん下１" localSheetId="9">#REF!</definedName>
    <definedName name="えん下１">#REF!</definedName>
    <definedName name="えん下２" localSheetId="9">#REF!</definedName>
    <definedName name="えん下２">#REF!</definedName>
    <definedName name="えん下３" localSheetId="9">#REF!</definedName>
    <definedName name="えん下３">#REF!</definedName>
    <definedName name="カテーテル" localSheetId="9">#REF!</definedName>
    <definedName name="カテーテル">#REF!</definedName>
    <definedName name="グループホーム" localSheetId="9">#REF!</definedName>
    <definedName name="グループホーム">#REF!</definedName>
    <definedName name="ケアハウス" localSheetId="9">#REF!</definedName>
    <definedName name="ケアハウス">#REF!</definedName>
    <definedName name="サービス利用なし" localSheetId="9">#REF!</definedName>
    <definedName name="サービス利用なし">#REF!</definedName>
    <definedName name="サービス利用介護" localSheetId="9">#REF!</definedName>
    <definedName name="サービス利用介護">#REF!</definedName>
    <definedName name="サービス利用総合事業" localSheetId="9">#REF!</definedName>
    <definedName name="サービス利用総合事業">#REF!</definedName>
    <definedName name="じょくそう" localSheetId="9">#REF!</definedName>
    <definedName name="じょくそう">#REF!</definedName>
    <definedName name="ストーマ" localSheetId="9">#REF!</definedName>
    <definedName name="ストーマ">#REF!</definedName>
    <definedName name="ズボン１" localSheetId="9">#REF!</definedName>
    <definedName name="ズボン１">#REF!</definedName>
    <definedName name="ズボン２" localSheetId="9">#REF!</definedName>
    <definedName name="ズボン２">#REF!</definedName>
    <definedName name="ズボン３" localSheetId="9">#REF!</definedName>
    <definedName name="ズボン３">#REF!</definedName>
    <definedName name="ズボン４" localSheetId="9">#REF!</definedName>
    <definedName name="ズボン４">#REF!</definedName>
    <definedName name="その他施設" localSheetId="9">#REF!</definedName>
    <definedName name="その他施設">#REF!</definedName>
    <definedName name="つめ切り１" localSheetId="9">#REF!</definedName>
    <definedName name="つめ切り１">#REF!</definedName>
    <definedName name="つめ切り２" localSheetId="9">#REF!</definedName>
    <definedName name="つめ切り２">#REF!</definedName>
    <definedName name="つめ切り３" localSheetId="9">#REF!</definedName>
    <definedName name="つめ切り３">#REF!</definedName>
    <definedName name="まとまらない１" localSheetId="9">#REF!</definedName>
    <definedName name="まとまらない１">#REF!</definedName>
    <definedName name="まとまらない２" localSheetId="9">#REF!</definedName>
    <definedName name="まとまらない２">#REF!</definedName>
    <definedName name="まとまらない３" localSheetId="9">#REF!</definedName>
    <definedName name="まとまらない３">#REF!</definedName>
    <definedName name="モニター測定" localSheetId="9">#REF!</definedName>
    <definedName name="モニター測定">#REF!</definedName>
    <definedName name="レスピレーター" localSheetId="9">#REF!</definedName>
    <definedName name="レスピレーター">#REF!</definedName>
    <definedName name="意見書使用１" localSheetId="9">#REF!</definedName>
    <definedName name="意見書使用１">#REF!</definedName>
    <definedName name="意見書使用２" localSheetId="9">#REF!</definedName>
    <definedName name="意見書使用２">#REF!</definedName>
    <definedName name="意見書食事行為１" localSheetId="9">#REF!</definedName>
    <definedName name="意見書食事行為１">#REF!</definedName>
    <definedName name="意見書食事行為２" localSheetId="9">#REF!</definedName>
    <definedName name="意見書食事行為２">#REF!</definedName>
    <definedName name="意見書短期記憶１" localSheetId="9">#REF!</definedName>
    <definedName name="意見書短期記憶１">#REF!</definedName>
    <definedName name="意見書短期記憶２" localSheetId="9">#REF!</definedName>
    <definedName name="意見書短期記憶２">#REF!</definedName>
    <definedName name="意見書伝達能力１" localSheetId="9">#REF!</definedName>
    <definedName name="意見書伝達能力１">#REF!</definedName>
    <definedName name="意見書伝達能力２" localSheetId="9">#REF!</definedName>
    <definedName name="意見書伝達能力２">#REF!</definedName>
    <definedName name="意見書伝達能力３" localSheetId="9">#REF!</definedName>
    <definedName name="意見書伝達能力３">#REF!</definedName>
    <definedName name="意見書伝達能力４" localSheetId="9">#REF!</definedName>
    <definedName name="意見書伝達能力４">#REF!</definedName>
    <definedName name="意見書認知能力１" localSheetId="9">#REF!</definedName>
    <definedName name="意見書認知能力１">#REF!</definedName>
    <definedName name="意見書認知能力２" localSheetId="9">#REF!</definedName>
    <definedName name="意見書認知能力２">#REF!</definedName>
    <definedName name="意見書認知能力３" localSheetId="9">#REF!</definedName>
    <definedName name="意見書認知能力３">#REF!</definedName>
    <definedName name="意見書認知能力４" localSheetId="9">#REF!</definedName>
    <definedName name="意見書認知能力４">#REF!</definedName>
    <definedName name="意思決定１" localSheetId="9">#REF!</definedName>
    <definedName name="意思決定１">#REF!</definedName>
    <definedName name="意思決定２" localSheetId="9">#REF!</definedName>
    <definedName name="意思決定２">#REF!</definedName>
    <definedName name="意思決定３" localSheetId="9">#REF!</definedName>
    <definedName name="意思決定３">#REF!</definedName>
    <definedName name="意思決定４" localSheetId="9">#REF!</definedName>
    <definedName name="意思決定４">#REF!</definedName>
    <definedName name="意思伝達１" localSheetId="9">#REF!</definedName>
    <definedName name="意思伝達１">#REF!</definedName>
    <definedName name="意思伝達２" localSheetId="9">#REF!</definedName>
    <definedName name="意思伝達２">#REF!</definedName>
    <definedName name="意思伝達３" localSheetId="9">#REF!</definedName>
    <definedName name="意思伝達３">#REF!</definedName>
    <definedName name="意思伝達４" localSheetId="9">#REF!</definedName>
    <definedName name="意思伝達４">#REF!</definedName>
    <definedName name="移乗１" localSheetId="9">#REF!</definedName>
    <definedName name="移乗１">#REF!</definedName>
    <definedName name="移乗２" localSheetId="9">#REF!</definedName>
    <definedName name="移乗２">#REF!</definedName>
    <definedName name="移乗３" localSheetId="9">#REF!</definedName>
    <definedName name="移乗３">#REF!</definedName>
    <definedName name="移乗４" localSheetId="9">#REF!</definedName>
    <definedName name="移乗４">#REF!</definedName>
    <definedName name="移動１" localSheetId="9">#REF!</definedName>
    <definedName name="移動１">#REF!</definedName>
    <definedName name="移動２" localSheetId="9">#REF!</definedName>
    <definedName name="移動２">#REF!</definedName>
    <definedName name="移動３" localSheetId="9">#REF!</definedName>
    <definedName name="移動３">#REF!</definedName>
    <definedName name="移動４" localSheetId="9">#REF!</definedName>
    <definedName name="移動４">#REF!</definedName>
    <definedName name="医療機関療養" localSheetId="9">#REF!</definedName>
    <definedName name="医療機関療養">#REF!</definedName>
    <definedName name="医療機関療養以外" localSheetId="9">#REF!</definedName>
    <definedName name="医療機関療養以外">#REF!</definedName>
    <definedName name="医療合計" localSheetId="9">#REF!</definedName>
    <definedName name="医療合計">#REF!</definedName>
    <definedName name="介護抵抗" localSheetId="9">#REF!</definedName>
    <definedName name="介護抵抗">#REF!</definedName>
    <definedName name="介護抵抗１" localSheetId="9">#REF!</definedName>
    <definedName name="介護抵抗１">#REF!</definedName>
    <definedName name="介護抵抗２" localSheetId="9">#REF!</definedName>
    <definedName name="介護抵抗２">#REF!</definedName>
    <definedName name="介護抵抗３" localSheetId="9">#REF!</definedName>
    <definedName name="介護抵抗３">#REF!</definedName>
    <definedName name="回答個数合計" localSheetId="9">#REF!</definedName>
    <definedName name="回答個数合計">#REF!</definedName>
    <definedName name="壊す１" localSheetId="9">#REF!</definedName>
    <definedName name="壊す１">#REF!</definedName>
    <definedName name="壊す２" localSheetId="9">#REF!</definedName>
    <definedName name="壊す２">#REF!</definedName>
    <definedName name="壊す３" localSheetId="9">#REF!</definedName>
    <definedName name="壊す３">#REF!</definedName>
    <definedName name="外出１" localSheetId="9">#REF!</definedName>
    <definedName name="外出１">#REF!</definedName>
    <definedName name="外出２" localSheetId="9">#REF!</definedName>
    <definedName name="外出２">#REF!</definedName>
    <definedName name="外出３" localSheetId="9">#REF!</definedName>
    <definedName name="外出３">#REF!</definedName>
    <definedName name="外出戻れない１" localSheetId="9">#REF!</definedName>
    <definedName name="外出戻れない１">#REF!</definedName>
    <definedName name="外出戻れない２" localSheetId="9">#REF!</definedName>
    <definedName name="外出戻れない２">#REF!</definedName>
    <definedName name="外出戻れない３" localSheetId="9">#REF!</definedName>
    <definedName name="外出戻れない３">#REF!</definedName>
    <definedName name="感情１" localSheetId="9">#REF!</definedName>
    <definedName name="感情１">#REF!</definedName>
    <definedName name="感情２" localSheetId="9">#REF!</definedName>
    <definedName name="感情２">#REF!</definedName>
    <definedName name="感情３" localSheetId="9">#REF!</definedName>
    <definedName name="感情３">#REF!</definedName>
    <definedName name="看護小規模" localSheetId="9">#REF!</definedName>
    <definedName name="看護小規模">#REF!</definedName>
    <definedName name="関係" localSheetId="9">#REF!</definedName>
    <definedName name="関係">#REF!</definedName>
    <definedName name="気管切開" localSheetId="9">#REF!</definedName>
    <definedName name="気管切開">#REF!</definedName>
    <definedName name="季節理解１" localSheetId="9">#REF!</definedName>
    <definedName name="季節理解１">#REF!</definedName>
    <definedName name="季節理解２" localSheetId="9">#REF!</definedName>
    <definedName name="季節理解２">#REF!</definedName>
    <definedName name="起き上がりつかまれば可" localSheetId="9">#REF!</definedName>
    <definedName name="起き上がりつかまれば可">#REF!</definedName>
    <definedName name="起き上がりできない" localSheetId="9">#REF!</definedName>
    <definedName name="起き上がりできない">#REF!</definedName>
    <definedName name="起き上がりできる" localSheetId="9">#REF!</definedName>
    <definedName name="起き上がりできる">#REF!</definedName>
    <definedName name="金銭管理１" localSheetId="9">#REF!</definedName>
    <definedName name="金銭管理１">#REF!</definedName>
    <definedName name="金銭管理２" localSheetId="9">#REF!</definedName>
    <definedName name="金銭管理２">#REF!</definedName>
    <definedName name="金銭管理３" localSheetId="9">#REF!</definedName>
    <definedName name="金銭管理３">#REF!</definedName>
    <definedName name="経管栄養" localSheetId="9">#REF!</definedName>
    <definedName name="経管栄養">#REF!</definedName>
    <definedName name="現住所１" localSheetId="9">#REF!</definedName>
    <definedName name="現住所１">#REF!</definedName>
    <definedName name="現住所２" localSheetId="9">#REF!</definedName>
    <definedName name="現住所２">#REF!</definedName>
    <definedName name="現住所電話番号" localSheetId="9">#REF!</definedName>
    <definedName name="現住所電話番号">#REF!</definedName>
    <definedName name="現住所郵便番号" localSheetId="9">#REF!</definedName>
    <definedName name="現住所郵便番号">#REF!</definedName>
    <definedName name="口腔清潔１" localSheetId="9">#REF!</definedName>
    <definedName name="口腔清潔１">#REF!</definedName>
    <definedName name="口腔清潔２" localSheetId="9">#REF!</definedName>
    <definedName name="口腔清潔２">#REF!</definedName>
    <definedName name="口腔清潔３" localSheetId="9">#REF!</definedName>
    <definedName name="口腔清潔３">#REF!</definedName>
    <definedName name="拘縮その他" localSheetId="9">#REF!</definedName>
    <definedName name="拘縮その他">#REF!</definedName>
    <definedName name="拘縮肩関節" localSheetId="9">#REF!</definedName>
    <definedName name="拘縮肩関節">#REF!</definedName>
    <definedName name="拘縮股関節" localSheetId="9">#REF!</definedName>
    <definedName name="拘縮股関節">#REF!</definedName>
    <definedName name="拘縮合計" localSheetId="9">#REF!</definedName>
    <definedName name="拘縮合計">#REF!</definedName>
    <definedName name="拘縮膝関節" localSheetId="9">#REF!</definedName>
    <definedName name="拘縮膝関節">#REF!</definedName>
    <definedName name="座位保持できない" localSheetId="9">#REF!</definedName>
    <definedName name="座位保持できない">#REF!</definedName>
    <definedName name="座位保持できる" localSheetId="9">#REF!</definedName>
    <definedName name="座位保持できる">#REF!</definedName>
    <definedName name="座位保持支え必要" localSheetId="9">#REF!</definedName>
    <definedName name="座位保持支え必要">#REF!</definedName>
    <definedName name="座位保持自分で可" localSheetId="9">#REF!</definedName>
    <definedName name="座位保持自分で可">#REF!</definedName>
    <definedName name="作話１" localSheetId="9">#REF!</definedName>
    <definedName name="作話１">#REF!</definedName>
    <definedName name="作話２" localSheetId="9">#REF!</definedName>
    <definedName name="作話２">#REF!</definedName>
    <definedName name="作話３" localSheetId="9">#REF!</definedName>
    <definedName name="作話３">#REF!</definedName>
    <definedName name="酸素療法" localSheetId="9">#REF!</definedName>
    <definedName name="酸素療法">#REF!</definedName>
    <definedName name="市町村特別給付" localSheetId="9">#REF!</definedName>
    <definedName name="市町村特別給付">#REF!</definedName>
    <definedName name="市町村特別給付有無" localSheetId="9">#REF!</definedName>
    <definedName name="市町村特別給付有無">#REF!</definedName>
    <definedName name="氏名" localSheetId="9">#REF!</definedName>
    <definedName name="氏名">#REF!</definedName>
    <definedName name="視力１" localSheetId="9">#REF!</definedName>
    <definedName name="視力１">#REF!</definedName>
    <definedName name="視力２" localSheetId="9">#REF!</definedName>
    <definedName name="視力２">#REF!</definedName>
    <definedName name="視力３" localSheetId="9">#REF!</definedName>
    <definedName name="視力３">#REF!</definedName>
    <definedName name="視力４" localSheetId="9">#REF!</definedName>
    <definedName name="視力４">#REF!</definedName>
    <definedName name="視力５" localSheetId="9">#REF!</definedName>
    <definedName name="視力５">#REF!</definedName>
    <definedName name="自分勝手１" localSheetId="9">#REF!</definedName>
    <definedName name="自分勝手１">#REF!</definedName>
    <definedName name="自分勝手２" localSheetId="9">#REF!</definedName>
    <definedName name="自分勝手２">#REF!</definedName>
    <definedName name="自分勝手３" localSheetId="9">#REF!</definedName>
    <definedName name="自分勝手３">#REF!</definedName>
    <definedName name="実施日月" localSheetId="9">#REF!</definedName>
    <definedName name="実施日月">#REF!</definedName>
    <definedName name="実施日日" localSheetId="9">#REF!</definedName>
    <definedName name="実施日日">#REF!</definedName>
    <definedName name="実施日年" localSheetId="9">#REF!</definedName>
    <definedName name="実施日年">#REF!</definedName>
    <definedName name="収集癖１" localSheetId="9">#REF!</definedName>
    <definedName name="収集癖１">#REF!</definedName>
    <definedName name="収集癖２" localSheetId="9">#REF!</definedName>
    <definedName name="収集癖２">#REF!</definedName>
    <definedName name="収集癖３" localSheetId="9">#REF!</definedName>
    <definedName name="収集癖３">#REF!</definedName>
    <definedName name="住宅改修無" localSheetId="9">#REF!</definedName>
    <definedName name="住宅改修無">#REF!</definedName>
    <definedName name="住宅改修有" localSheetId="9">#REF!</definedName>
    <definedName name="住宅改修有">#REF!</definedName>
    <definedName name="出たがる１" localSheetId="9">#REF!</definedName>
    <definedName name="出たがる１">#REF!</definedName>
    <definedName name="出たがる２" localSheetId="9">#REF!</definedName>
    <definedName name="出たがる２">#REF!</definedName>
    <definedName name="出たがる３" localSheetId="9">#REF!</definedName>
    <definedName name="出たがる３">#REF!</definedName>
    <definedName name="小規模住宅" localSheetId="9">#REF!</definedName>
    <definedName name="小規模住宅">#REF!</definedName>
    <definedName name="障害高齢者自立度１" localSheetId="9">#REF!</definedName>
    <definedName name="障害高齢者自立度１">#REF!</definedName>
    <definedName name="障害高齢者自立度２" localSheetId="9">#REF!</definedName>
    <definedName name="障害高齢者自立度２">#REF!</definedName>
    <definedName name="障害高齢者自立度３" localSheetId="9">#REF!</definedName>
    <definedName name="障害高齢者自立度３">#REF!</definedName>
    <definedName name="障害高齢者自立度４" localSheetId="9">#REF!</definedName>
    <definedName name="障害高齢者自立度４">#REF!</definedName>
    <definedName name="障害高齢者自立度５" localSheetId="9">#REF!</definedName>
    <definedName name="障害高齢者自立度５">#REF!</definedName>
    <definedName name="障害高齢者自立度６" localSheetId="9">#REF!</definedName>
    <definedName name="障害高齢者自立度６">#REF!</definedName>
    <definedName name="障害高齢者自立度７" localSheetId="9">#REF!</definedName>
    <definedName name="障害高齢者自立度７">#REF!</definedName>
    <definedName name="障害高齢者自立度８" localSheetId="9">#REF!</definedName>
    <definedName name="障害高齢者自立度８">#REF!</definedName>
    <definedName name="障害高齢者自立度９" localSheetId="9">#REF!</definedName>
    <definedName name="障害高齢者自立度９">#REF!</definedName>
    <definedName name="障害日常生活自立度１" localSheetId="9">#REF!</definedName>
    <definedName name="障害日常生活自立度１">#REF!</definedName>
    <definedName name="障害日常生活自立度２" localSheetId="9">#REF!</definedName>
    <definedName name="障害日常生活自立度２">#REF!</definedName>
    <definedName name="障害日常生活自立度３" localSheetId="9">#REF!</definedName>
    <definedName name="障害日常生活自立度３">#REF!</definedName>
    <definedName name="障害日常生活自立度４" localSheetId="9">#REF!</definedName>
    <definedName name="障害日常生活自立度４">#REF!</definedName>
    <definedName name="障害日常生活自立度５" localSheetId="9">#REF!</definedName>
    <definedName name="障害日常生活自立度５">#REF!</definedName>
    <definedName name="障害日常生活自立度６" localSheetId="9">#REF!</definedName>
    <definedName name="障害日常生活自立度６">#REF!</definedName>
    <definedName name="障害日常生活自立度７" localSheetId="9">#REF!</definedName>
    <definedName name="障害日常生活自立度７">#REF!</definedName>
    <definedName name="障害日常生活自立度８" localSheetId="9">#REF!</definedName>
    <definedName name="障害日常生活自立度８">#REF!</definedName>
    <definedName name="障害日常生活自立度９" localSheetId="9">#REF!</definedName>
    <definedName name="障害日常生活自立度９">#REF!</definedName>
    <definedName name="上衣１" localSheetId="9">#REF!</definedName>
    <definedName name="上衣１">#REF!</definedName>
    <definedName name="上衣２" localSheetId="9">#REF!</definedName>
    <definedName name="上衣２">#REF!</definedName>
    <definedName name="上衣３" localSheetId="9">#REF!</definedName>
    <definedName name="上衣３">#REF!</definedName>
    <definedName name="上衣４" localSheetId="9">#REF!</definedName>
    <definedName name="上衣４">#REF!</definedName>
    <definedName name="場所理解１" localSheetId="9">#REF!</definedName>
    <definedName name="場所理解１">#REF!</definedName>
    <definedName name="場所理解２" localSheetId="9">#REF!</definedName>
    <definedName name="場所理解２">#REF!</definedName>
    <definedName name="食事摂取１" localSheetId="9">#REF!</definedName>
    <definedName name="食事摂取１">#REF!</definedName>
    <definedName name="食事摂取２" localSheetId="9">#REF!</definedName>
    <definedName name="食事摂取２">#REF!</definedName>
    <definedName name="食事摂取３" localSheetId="9">#REF!</definedName>
    <definedName name="食事摂取３">#REF!</definedName>
    <definedName name="食事摂取４" localSheetId="9">#REF!</definedName>
    <definedName name="食事摂取４">#REF!</definedName>
    <definedName name="寝返りつかまれば可" localSheetId="9">#REF!</definedName>
    <definedName name="寝返りつかまれば可">#REF!</definedName>
    <definedName name="寝返りできない" localSheetId="9">#REF!</definedName>
    <definedName name="寝返りできない">#REF!</definedName>
    <definedName name="寝返りできる" localSheetId="9">#REF!</definedName>
    <definedName name="寝返りできる">#REF!</definedName>
    <definedName name="性別" localSheetId="9">#REF!</definedName>
    <definedName name="性別">#REF!</definedName>
    <definedName name="性別女" localSheetId="9">#REF!</definedName>
    <definedName name="性別女">#REF!</definedName>
    <definedName name="性別男" localSheetId="9">#REF!</definedName>
    <definedName name="性別男">#REF!</definedName>
    <definedName name="整髪１" localSheetId="9">#REF!</definedName>
    <definedName name="整髪１">#REF!</definedName>
    <definedName name="整髪２" localSheetId="9">#REF!</definedName>
    <definedName name="整髪２">#REF!</definedName>
    <definedName name="整髪３" localSheetId="9">#REF!</definedName>
    <definedName name="整髪３">#REF!</definedName>
    <definedName name="生年月日月" localSheetId="9">#REF!</definedName>
    <definedName name="生年月日月">#REF!</definedName>
    <definedName name="生年月日昭和" localSheetId="9">#REF!</definedName>
    <definedName name="生年月日昭和">#REF!</definedName>
    <definedName name="生年月日大正" localSheetId="9">#REF!</definedName>
    <definedName name="生年月日大正">#REF!</definedName>
    <definedName name="生年月日日" localSheetId="9">#REF!</definedName>
    <definedName name="生年月日日">#REF!</definedName>
    <definedName name="生年月日年" localSheetId="9">#REF!</definedName>
    <definedName name="生年月日年">#REF!</definedName>
    <definedName name="生年月日明治" localSheetId="9">#REF!</definedName>
    <definedName name="生年月日明治">#REF!</definedName>
    <definedName name="洗顔１" localSheetId="9">#REF!</definedName>
    <definedName name="洗顔１">#REF!</definedName>
    <definedName name="洗顔２" localSheetId="9">#REF!</definedName>
    <definedName name="洗顔２">#REF!</definedName>
    <definedName name="洗顔３" localSheetId="9">#REF!</definedName>
    <definedName name="洗顔３">#REF!</definedName>
    <definedName name="洗身１" localSheetId="9">#REF!</definedName>
    <definedName name="洗身１">#REF!</definedName>
    <definedName name="洗身２" localSheetId="9">#REF!</definedName>
    <definedName name="洗身２">#REF!</definedName>
    <definedName name="洗身３" localSheetId="9">#REF!</definedName>
    <definedName name="洗身３">#REF!</definedName>
    <definedName name="洗身４" localSheetId="9">#REF!</definedName>
    <definedName name="洗身４">#REF!</definedName>
    <definedName name="他在宅サービス" localSheetId="9">#REF!</definedName>
    <definedName name="他在宅サービス">#REF!</definedName>
    <definedName name="他在宅サービス有無" localSheetId="9">#REF!</definedName>
    <definedName name="他在宅サービス有無">#REF!</definedName>
    <definedName name="大声１" localSheetId="9">#REF!</definedName>
    <definedName name="大声１">#REF!</definedName>
    <definedName name="大声２" localSheetId="9">#REF!</definedName>
    <definedName name="大声２">#REF!</definedName>
    <definedName name="大声３" localSheetId="9">#REF!</definedName>
    <definedName name="大声３">#REF!</definedName>
    <definedName name="短期記憶１" localSheetId="9">#REF!</definedName>
    <definedName name="短期記憶１">#REF!</definedName>
    <definedName name="短期記憶２" localSheetId="9">#REF!</definedName>
    <definedName name="短期記憶２">#REF!</definedName>
    <definedName name="短期生活" localSheetId="9">#REF!</definedName>
    <definedName name="短期生活">#REF!</definedName>
    <definedName name="短期療養" localSheetId="9">#REF!</definedName>
    <definedName name="短期療養">#REF!</definedName>
    <definedName name="地域特定" localSheetId="9">#REF!</definedName>
    <definedName name="地域特定">#REF!</definedName>
    <definedName name="地域福祉" localSheetId="9">#REF!</definedName>
    <definedName name="地域福祉">#REF!</definedName>
    <definedName name="中心静脈栄養" localSheetId="9">#REF!</definedName>
    <definedName name="中心静脈栄養">#REF!</definedName>
    <definedName name="昼夜１" localSheetId="9">#REF!</definedName>
    <definedName name="昼夜１">#REF!</definedName>
    <definedName name="昼夜２" localSheetId="9">#REF!</definedName>
    <definedName name="昼夜２">#REF!</definedName>
    <definedName name="昼夜３" localSheetId="9">#REF!</definedName>
    <definedName name="昼夜３">#REF!</definedName>
    <definedName name="聴力１" localSheetId="9">#REF!</definedName>
    <definedName name="聴力１">#REF!</definedName>
    <definedName name="聴力２" localSheetId="9">#REF!</definedName>
    <definedName name="聴力２">#REF!</definedName>
    <definedName name="聴力３" localSheetId="9">#REF!</definedName>
    <definedName name="聴力３">#REF!</definedName>
    <definedName name="聴力４" localSheetId="9">#REF!</definedName>
    <definedName name="聴力４">#REF!</definedName>
    <definedName name="聴力５" localSheetId="9">#REF!</definedName>
    <definedName name="聴力５">#REF!</definedName>
    <definedName name="調査員氏名" localSheetId="9">#REF!</definedName>
    <definedName name="調査員氏名">#REF!</definedName>
    <definedName name="調査員所属機関" localSheetId="9">#REF!</definedName>
    <definedName name="調査員所属機関">#REF!</definedName>
    <definedName name="調査員番号" localSheetId="9">#REF!</definedName>
    <definedName name="調査員番号">#REF!</definedName>
    <definedName name="調理１" localSheetId="9">#REF!</definedName>
    <definedName name="調理１">#REF!</definedName>
    <definedName name="調理２" localSheetId="9">#REF!</definedName>
    <definedName name="調理２">#REF!</definedName>
    <definedName name="調理３" localSheetId="9">#REF!</definedName>
    <definedName name="調理３">#REF!</definedName>
    <definedName name="調理４" localSheetId="9">#REF!</definedName>
    <definedName name="調理４">#REF!</definedName>
    <definedName name="通所リハ" localSheetId="9">#REF!</definedName>
    <definedName name="通所リハ">#REF!</definedName>
    <definedName name="通所介護" localSheetId="9">#REF!</definedName>
    <definedName name="通所介護">#REF!</definedName>
    <definedName name="定期巡回" localSheetId="9">#REF!</definedName>
    <definedName name="定期巡回">#REF!</definedName>
    <definedName name="点滴" localSheetId="9">#REF!</definedName>
    <definedName name="点滴">#REF!</definedName>
    <definedName name="透析" localSheetId="9">#REF!</definedName>
    <definedName name="透析">#REF!</definedName>
    <definedName name="同じ話１" localSheetId="9">#REF!</definedName>
    <definedName name="同じ話１">#REF!</definedName>
    <definedName name="同じ話２" localSheetId="9">#REF!</definedName>
    <definedName name="同じ話２">#REF!</definedName>
    <definedName name="同じ話３" localSheetId="9">#REF!</definedName>
    <definedName name="同じ話３">#REF!</definedName>
    <definedName name="特記事項" localSheetId="9">#REF!</definedName>
    <definedName name="特記事項">#REF!</definedName>
    <definedName name="特定施設" localSheetId="9">#REF!</definedName>
    <definedName name="特定施設">#REF!</definedName>
    <definedName name="独り言１" localSheetId="9">#REF!</definedName>
    <definedName name="独り言１">#REF!</definedName>
    <definedName name="独り言２" localSheetId="9">#REF!</definedName>
    <definedName name="独り言２">#REF!</definedName>
    <definedName name="独り言３" localSheetId="9">#REF!</definedName>
    <definedName name="独り言３">#REF!</definedName>
    <definedName name="日課理解１" localSheetId="9">#REF!</definedName>
    <definedName name="日課理解１">#REF!</definedName>
    <definedName name="日課理解２" localSheetId="9">#REF!</definedName>
    <definedName name="日課理解２">#REF!</definedName>
    <definedName name="認知共同" localSheetId="9">#REF!</definedName>
    <definedName name="認知共同">#REF!</definedName>
    <definedName name="認知証高齢者自立度１" localSheetId="9">#REF!</definedName>
    <definedName name="認知証高齢者自立度１">#REF!</definedName>
    <definedName name="認知証高齢者自立度２" localSheetId="9">#REF!</definedName>
    <definedName name="認知証高齢者自立度２">#REF!</definedName>
    <definedName name="認知証高齢者自立度３" localSheetId="9">#REF!</definedName>
    <definedName name="認知証高齢者自立度３">#REF!</definedName>
    <definedName name="認知証高齢者自立度４" localSheetId="9">#REF!</definedName>
    <definedName name="認知証高齢者自立度４">#REF!</definedName>
    <definedName name="認知証高齢者自立度５" localSheetId="9">#REF!</definedName>
    <definedName name="認知証高齢者自立度５">#REF!</definedName>
    <definedName name="認知証高齢者自立度６" localSheetId="9">#REF!</definedName>
    <definedName name="認知証高齢者自立度６">#REF!</definedName>
    <definedName name="認知証高齢者自立度７" localSheetId="9">#REF!</definedName>
    <definedName name="認知証高齢者自立度７">#REF!</definedName>
    <definedName name="認知証高齢者自立度８" localSheetId="9">#REF!</definedName>
    <definedName name="認知証高齢者自立度８">#REF!</definedName>
    <definedName name="認知通所" localSheetId="9">#REF!</definedName>
    <definedName name="認知通所">#REF!</definedName>
    <definedName name="認知日常生活自立度１" localSheetId="9">#REF!</definedName>
    <definedName name="認知日常生活自立度１">#REF!</definedName>
    <definedName name="認知日常生活自立度２" localSheetId="9">#REF!</definedName>
    <definedName name="認知日常生活自立度２">#REF!</definedName>
    <definedName name="認知日常生活自立度３" localSheetId="9">#REF!</definedName>
    <definedName name="認知日常生活自立度３">#REF!</definedName>
    <definedName name="認知日常生活自立度４" localSheetId="9">#REF!</definedName>
    <definedName name="認知日常生活自立度４">#REF!</definedName>
    <definedName name="認知日常生活自立度５" localSheetId="9">#REF!</definedName>
    <definedName name="認知日常生活自立度５">#REF!</definedName>
    <definedName name="認知日常生活自立度６" localSheetId="9">#REF!</definedName>
    <definedName name="認知日常生活自立度６">#REF!</definedName>
    <definedName name="認知日常生活自立度７" localSheetId="9">#REF!</definedName>
    <definedName name="認知日常生活自立度７">#REF!</definedName>
    <definedName name="認知日常生活自立度８" localSheetId="9">#REF!</definedName>
    <definedName name="認知日常生活自立度８">#REF!</definedName>
    <definedName name="年齢" localSheetId="9">#REF!</definedName>
    <definedName name="年齢">#REF!</definedName>
    <definedName name="年齢言う１" localSheetId="9">#REF!</definedName>
    <definedName name="年齢言う１">#REF!</definedName>
    <definedName name="年齢言う２" localSheetId="9">#REF!</definedName>
    <definedName name="年齢言う２">#REF!</definedName>
    <definedName name="排尿１" localSheetId="9">#REF!</definedName>
    <definedName name="排尿１">#REF!</definedName>
    <definedName name="排尿２" localSheetId="9">#REF!</definedName>
    <definedName name="排尿２">#REF!</definedName>
    <definedName name="排尿３" localSheetId="9">#REF!</definedName>
    <definedName name="排尿３">#REF!</definedName>
    <definedName name="排尿４" localSheetId="9">#REF!</definedName>
    <definedName name="排尿４">#REF!</definedName>
    <definedName name="排便１" localSheetId="9">#REF!</definedName>
    <definedName name="排便１">#REF!</definedName>
    <definedName name="排便２" localSheetId="9">#REF!</definedName>
    <definedName name="排便２">#REF!</definedName>
    <definedName name="排便３" localSheetId="9">#REF!</definedName>
    <definedName name="排便３">#REF!</definedName>
    <definedName name="排便４" localSheetId="9">#REF!</definedName>
    <definedName name="排便４">#REF!</definedName>
    <definedName name="買い物１" localSheetId="9">#REF!</definedName>
    <definedName name="買い物１">#REF!</definedName>
    <definedName name="買い物２" localSheetId="9">#REF!</definedName>
    <definedName name="買い物２">#REF!</definedName>
    <definedName name="買い物３" localSheetId="9">#REF!</definedName>
    <definedName name="買い物３">#REF!</definedName>
    <definedName name="買い物４" localSheetId="9">#REF!</definedName>
    <definedName name="買い物４">#REF!</definedName>
    <definedName name="被害的１" localSheetId="9">#REF!</definedName>
    <definedName name="被害的１">#REF!</definedName>
    <definedName name="被害的２" localSheetId="9">#REF!</definedName>
    <definedName name="被害的２">#REF!</definedName>
    <definedName name="被害的３" localSheetId="9">#REF!</definedName>
    <definedName name="被害的３">#REF!</definedName>
    <definedName name="被保険者番号" localSheetId="9">#REF!</definedName>
    <definedName name="被保険者番号">#REF!</definedName>
    <definedName name="不適応１" localSheetId="9">#REF!</definedName>
    <definedName name="不適応１">#REF!</definedName>
    <definedName name="不適応２" localSheetId="9">#REF!</definedName>
    <definedName name="不適応２">#REF!</definedName>
    <definedName name="不適応３" localSheetId="9">#REF!</definedName>
    <definedName name="不適応３">#REF!</definedName>
    <definedName name="物忘３" localSheetId="9">#REF!</definedName>
    <definedName name="物忘３">#REF!</definedName>
    <definedName name="物忘れ１" localSheetId="9">#REF!</definedName>
    <definedName name="物忘れ１">#REF!</definedName>
    <definedName name="物忘れ２" localSheetId="9">#REF!</definedName>
    <definedName name="物忘れ２">#REF!</definedName>
    <definedName name="物忘れ３" localSheetId="9">#REF!</definedName>
    <definedName name="物忘れ３">#REF!</definedName>
    <definedName name="片足立位１" localSheetId="9">#REF!</definedName>
    <definedName name="片足立位１">#REF!</definedName>
    <definedName name="片足立位２" localSheetId="9">#REF!</definedName>
    <definedName name="片足立位２">#REF!</definedName>
    <definedName name="片足立位３" localSheetId="9">#REF!</definedName>
    <definedName name="片足立位３">#REF!</definedName>
    <definedName name="保険者番号" localSheetId="9">#REF!</definedName>
    <definedName name="保険者番号">#REF!</definedName>
    <definedName name="歩行１" localSheetId="9">#REF!</definedName>
    <definedName name="歩行１">#REF!</definedName>
    <definedName name="歩行２" localSheetId="9">#REF!</definedName>
    <definedName name="歩行２">#REF!</definedName>
    <definedName name="歩行３" localSheetId="9">#REF!</definedName>
    <definedName name="歩行３">#REF!</definedName>
    <definedName name="歩行できる" localSheetId="9">#REF!</definedName>
    <definedName name="歩行できる">#REF!</definedName>
    <definedName name="訪問リハ" localSheetId="9">#REF!</definedName>
    <definedName name="訪問リハ">#REF!</definedName>
    <definedName name="訪問介護" localSheetId="9">#REF!</definedName>
    <definedName name="訪問介護">#REF!</definedName>
    <definedName name="訪問看護" localSheetId="9">#REF!</definedName>
    <definedName name="訪問看護">#REF!</definedName>
    <definedName name="訪問入浴" localSheetId="9">#REF!</definedName>
    <definedName name="訪問入浴">#REF!</definedName>
    <definedName name="麻痺その他" localSheetId="9">#REF!</definedName>
    <definedName name="麻痺その他">#REF!</definedName>
    <definedName name="麻痺右下肢" localSheetId="9">#REF!</definedName>
    <definedName name="麻痺右下肢">#REF!</definedName>
    <definedName name="麻痺右上肢" localSheetId="9">#REF!</definedName>
    <definedName name="麻痺右上肢">#REF!</definedName>
    <definedName name="麻痺合計" localSheetId="9">#REF!</definedName>
    <definedName name="麻痺合計">#REF!</definedName>
    <definedName name="麻痺左下肢" localSheetId="9">#REF!</definedName>
    <definedName name="麻痺左下肢">#REF!</definedName>
    <definedName name="麻痺左上肢" localSheetId="9">#REF!</definedName>
    <definedName name="麻痺左上肢">#REF!</definedName>
    <definedName name="名前言う１" localSheetId="9">#REF!</definedName>
    <definedName name="名前言う１">#REF!</definedName>
    <definedName name="名前言う２" localSheetId="9">#REF!</definedName>
    <definedName name="名前言う２">#REF!</definedName>
    <definedName name="夜間訪問" localSheetId="9">#REF!</definedName>
    <definedName name="夜間訪問">#REF!</definedName>
    <definedName name="薬内服１" localSheetId="9">#REF!</definedName>
    <definedName name="薬内服１">#REF!</definedName>
    <definedName name="薬内服２" localSheetId="9">#REF!</definedName>
    <definedName name="薬内服２">#REF!</definedName>
    <definedName name="薬内服３" localSheetId="9">#REF!</definedName>
    <definedName name="薬内服３">#REF!</definedName>
    <definedName name="用具貸与" localSheetId="9">#REF!</definedName>
    <definedName name="用具貸与">#REF!</definedName>
    <definedName name="用具販売" localSheetId="9">#REF!</definedName>
    <definedName name="用具販売">#REF!</definedName>
    <definedName name="落ち着き１" localSheetId="9">#REF!</definedName>
    <definedName name="落ち着き１">#REF!</definedName>
    <definedName name="落ち着き２" localSheetId="9">#REF!</definedName>
    <definedName name="落ち着き２">#REF!</definedName>
    <definedName name="落ち着き３" localSheetId="9">#REF!</definedName>
    <definedName name="落ち着き３">#REF!</definedName>
    <definedName name="立ち上がり１" localSheetId="9">#REF!</definedName>
    <definedName name="立ち上がり１">#REF!</definedName>
    <definedName name="立ち上がり２" localSheetId="9">#REF!</definedName>
    <definedName name="立ち上がり２">#REF!</definedName>
    <definedName name="立ち上がり３" localSheetId="9">#REF!</definedName>
    <definedName name="立ち上がり３">#REF!</definedName>
    <definedName name="両足立位できない" localSheetId="9">#REF!</definedName>
    <definedName name="両足立位できない">#REF!</definedName>
    <definedName name="両足立位できる" localSheetId="9">#REF!</definedName>
    <definedName name="両足立位できる">#REF!</definedName>
    <definedName name="両足立位支えが必要" localSheetId="9">#REF!</definedName>
    <definedName name="両足立位支えが必要">#REF!</definedName>
    <definedName name="療養型医療施設" localSheetId="9">#REF!</definedName>
    <definedName name="療養型医療施設">#REF!</definedName>
    <definedName name="療養指導" localSheetId="9">#REF!</definedName>
    <definedName name="療養指導">#REF!</definedName>
    <definedName name="連絡先氏名" localSheetId="9">#REF!</definedName>
    <definedName name="連絡先氏名">#REF!</definedName>
    <definedName name="連絡先住所１" localSheetId="9">#REF!</definedName>
    <definedName name="連絡先住所１">#REF!</definedName>
    <definedName name="連絡先住所２" localSheetId="9">#REF!</definedName>
    <definedName name="連絡先住所２">#REF!</definedName>
    <definedName name="連絡先住所郵便番号" localSheetId="9">#REF!</definedName>
    <definedName name="連絡先住所郵便番号">#REF!</definedName>
    <definedName name="連絡先電話番号" localSheetId="9">#REF!</definedName>
    <definedName name="連絡先電話番号">#REF!</definedName>
    <definedName name="老人福祉施設" localSheetId="9">#REF!</definedName>
    <definedName name="老人福祉施設">#REF!</definedName>
    <definedName name="老人保健施設" localSheetId="9">#REF!</definedName>
    <definedName name="老人保健施設">#REF!</definedName>
    <definedName name="徘徊１" localSheetId="9">#REF!</definedName>
    <definedName name="徘徊１">#REF!</definedName>
    <definedName name="徘徊２" localSheetId="9">#REF!</definedName>
    <definedName name="徘徊２">#REF!</definedName>
    <definedName name="徘徊３" localSheetId="9">#REF!</definedName>
    <definedName name="徘徊３">#REF!</definedName>
    <definedName name="疼痛看護" localSheetId="9">#REF!</definedName>
    <definedName name="疼痛看護">#REF!</definedName>
  </definedNames>
  <calcPr calcId="191029" concurrentManualCount="2"/>
</workbook>
</file>

<file path=xl/calcChain.xml><?xml version="1.0" encoding="utf-8"?>
<calcChain xmlns="http://schemas.openxmlformats.org/spreadsheetml/2006/main">
  <c r="X3" i="14" l="1"/>
  <c r="W3" i="14"/>
  <c r="V3" i="14"/>
  <c r="U3" i="14"/>
  <c r="T3" i="14"/>
  <c r="S3" i="14"/>
  <c r="R3" i="14"/>
  <c r="Q3" i="14"/>
  <c r="Y3" i="14" l="1"/>
  <c r="Z3" i="14"/>
  <c r="Y4" i="14"/>
  <c r="X4" i="14"/>
  <c r="AR2" i="4" l="1"/>
  <c r="AR1" i="4"/>
  <c r="AG2" i="4"/>
  <c r="AG1" i="4"/>
  <c r="V2" i="4"/>
  <c r="V1" i="4"/>
  <c r="K2" i="4"/>
  <c r="K1" i="4"/>
  <c r="L25" i="15"/>
  <c r="H59" i="14"/>
  <c r="H5" i="14"/>
  <c r="N5" i="14" s="1"/>
  <c r="H4" i="14"/>
  <c r="N4" i="14" s="1"/>
  <c r="B8" i="10"/>
  <c r="S13" i="13"/>
  <c r="S4" i="13"/>
  <c r="I103" i="13"/>
  <c r="I94" i="13"/>
  <c r="I85" i="13"/>
  <c r="I76" i="13"/>
  <c r="I67" i="13"/>
  <c r="I58" i="13"/>
  <c r="I49" i="13"/>
  <c r="I40" i="13"/>
  <c r="I31" i="13"/>
  <c r="I22" i="13"/>
  <c r="I13" i="13"/>
  <c r="I4" i="13"/>
  <c r="I49" i="5"/>
  <c r="I40" i="5"/>
  <c r="I31" i="5"/>
  <c r="I22" i="5"/>
  <c r="I13" i="5"/>
  <c r="I4" i="5"/>
  <c r="I130" i="12"/>
  <c r="I121" i="12"/>
  <c r="I112" i="12"/>
  <c r="I103" i="12"/>
  <c r="I94" i="12"/>
  <c r="I85" i="12"/>
  <c r="I76" i="12"/>
  <c r="I67" i="12"/>
  <c r="I58" i="12"/>
  <c r="I49" i="12"/>
  <c r="I40" i="12"/>
  <c r="I31" i="12"/>
  <c r="I22" i="12"/>
  <c r="I13" i="12"/>
  <c r="I4" i="12"/>
  <c r="I76" i="7"/>
  <c r="I67" i="7"/>
  <c r="I58" i="7"/>
  <c r="I49" i="7"/>
  <c r="I40" i="7"/>
  <c r="I31" i="7"/>
  <c r="I22" i="7"/>
  <c r="I13" i="7"/>
  <c r="I4" i="7"/>
  <c r="I103" i="8"/>
  <c r="I94" i="8"/>
  <c r="I85" i="8"/>
  <c r="I76" i="8"/>
  <c r="I67" i="8"/>
  <c r="I58" i="8"/>
  <c r="I49" i="8"/>
  <c r="I40" i="8"/>
  <c r="I31" i="8"/>
  <c r="I22" i="8"/>
  <c r="I13" i="8"/>
  <c r="I4" i="8"/>
  <c r="I112" i="9"/>
  <c r="I103" i="9"/>
  <c r="I94" i="9"/>
  <c r="I85" i="9"/>
  <c r="I76" i="9"/>
  <c r="I67" i="9"/>
  <c r="I58" i="9"/>
  <c r="I49" i="9"/>
  <c r="I40" i="9"/>
  <c r="I31" i="9"/>
  <c r="I22" i="9"/>
  <c r="I13" i="9"/>
  <c r="I4" i="9"/>
  <c r="M77" i="14"/>
  <c r="O77" i="14" s="1"/>
  <c r="AB43" i="15"/>
  <c r="AB33" i="15"/>
  <c r="AB23" i="15"/>
  <c r="AB13" i="15"/>
  <c r="AB3" i="15"/>
  <c r="B17" i="10"/>
  <c r="S59" i="10" l="1"/>
  <c r="S58" i="10"/>
  <c r="S57" i="10"/>
  <c r="S56" i="10"/>
  <c r="S55" i="10"/>
  <c r="S54" i="10"/>
  <c r="S53" i="10"/>
  <c r="S52" i="10"/>
  <c r="S51" i="10"/>
  <c r="S50" i="10"/>
  <c r="S49" i="10"/>
  <c r="S48" i="10"/>
  <c r="S47" i="10"/>
  <c r="S46" i="10"/>
  <c r="S45" i="10"/>
  <c r="S44" i="10"/>
  <c r="S43" i="10"/>
  <c r="S42" i="10"/>
  <c r="S41" i="10"/>
  <c r="S40" i="10"/>
  <c r="I40" i="10"/>
  <c r="S39" i="10"/>
  <c r="I39" i="10"/>
  <c r="S38" i="10"/>
  <c r="E38" i="10"/>
  <c r="S37" i="10"/>
  <c r="E37" i="10"/>
  <c r="S36" i="10"/>
  <c r="E36" i="10"/>
  <c r="S35" i="10"/>
  <c r="E35" i="10"/>
  <c r="S34" i="10"/>
  <c r="E34" i="10"/>
  <c r="S33" i="10"/>
  <c r="E33" i="10"/>
  <c r="S32" i="10"/>
  <c r="E32" i="10"/>
  <c r="S31" i="10"/>
  <c r="E31" i="10"/>
  <c r="S30" i="10"/>
  <c r="E30" i="10"/>
  <c r="S29" i="10"/>
  <c r="S28" i="10"/>
  <c r="E28" i="10"/>
  <c r="S27" i="10"/>
  <c r="E27" i="10" l="1"/>
  <c r="S26" i="10"/>
  <c r="E26" i="10"/>
  <c r="S25" i="10"/>
  <c r="E25" i="10"/>
  <c r="S24" i="10"/>
  <c r="I24" i="10"/>
  <c r="E24" i="10"/>
  <c r="S23" i="10"/>
  <c r="I23" i="10"/>
  <c r="E23" i="10" l="1"/>
  <c r="S22" i="10"/>
  <c r="I22" i="10" l="1"/>
  <c r="E22" i="10"/>
  <c r="S21" i="10"/>
  <c r="I21" i="10" l="1"/>
  <c r="E21" i="10" l="1"/>
  <c r="S20" i="10"/>
  <c r="I20" i="10"/>
  <c r="E20" i="10"/>
  <c r="S19" i="10"/>
  <c r="I19" i="10"/>
  <c r="E19" i="10"/>
  <c r="S18" i="10"/>
  <c r="E18" i="10"/>
  <c r="B19" i="10"/>
  <c r="S17" i="10"/>
  <c r="I17" i="10"/>
  <c r="E17" i="10" l="1"/>
  <c r="B18" i="10"/>
  <c r="B22" i="10" s="1"/>
  <c r="S16" i="10"/>
  <c r="I16" i="10"/>
  <c r="S15" i="10"/>
  <c r="I15" i="10"/>
  <c r="E15" i="10"/>
  <c r="S14" i="10"/>
  <c r="I14" i="10"/>
  <c r="E14" i="10"/>
  <c r="B15" i="10"/>
  <c r="S13" i="10"/>
  <c r="I13" i="10"/>
  <c r="E13" i="10" l="1"/>
  <c r="B14" i="10"/>
  <c r="S12" i="10"/>
  <c r="I12" i="10" l="1"/>
  <c r="E12" i="10" l="1"/>
  <c r="B13" i="10"/>
  <c r="S11" i="10"/>
  <c r="I11" i="10" l="1"/>
  <c r="E11" i="10"/>
  <c r="B12" i="10"/>
  <c r="S10" i="10"/>
  <c r="I10" i="10"/>
  <c r="E10" i="10" l="1"/>
  <c r="B11" i="10"/>
  <c r="S9" i="10"/>
  <c r="I9" i="10"/>
  <c r="E9" i="10"/>
  <c r="B10" i="10"/>
  <c r="S8" i="10"/>
  <c r="I8" i="10"/>
  <c r="E8" i="10"/>
  <c r="B9" i="10"/>
  <c r="S7" i="10"/>
  <c r="I7" i="10"/>
  <c r="E7" i="10"/>
  <c r="B7" i="10"/>
  <c r="S6" i="10"/>
  <c r="I6" i="10"/>
  <c r="E6" i="10"/>
  <c r="B6" i="10"/>
  <c r="S5" i="10"/>
  <c r="I5" i="10" l="1"/>
  <c r="E5" i="10"/>
  <c r="E41" i="10" s="1"/>
  <c r="B5" i="10"/>
  <c r="S4" i="10"/>
  <c r="I4" i="10"/>
  <c r="B4" i="10"/>
  <c r="S3" i="10"/>
  <c r="I3" i="10"/>
  <c r="B3" i="10"/>
  <c r="M76" i="14"/>
  <c r="M75" i="14"/>
  <c r="J74" i="14"/>
  <c r="I74" i="14"/>
  <c r="H74" i="14"/>
  <c r="E74" i="14"/>
  <c r="M73" i="14"/>
  <c r="O73" i="14" s="1"/>
  <c r="L73" i="14"/>
  <c r="K73" i="14"/>
  <c r="J73" i="14"/>
  <c r="I73" i="14"/>
  <c r="H73" i="14"/>
  <c r="K72" i="14"/>
  <c r="J72" i="14"/>
  <c r="I72" i="14"/>
  <c r="H72" i="14"/>
  <c r="E72" i="14"/>
  <c r="M71" i="14"/>
  <c r="L71" i="14"/>
  <c r="K71" i="14"/>
  <c r="J71" i="14"/>
  <c r="I71" i="14"/>
  <c r="H71" i="14"/>
  <c r="O75" i="14" l="1"/>
  <c r="O71" i="14"/>
  <c r="O76" i="14"/>
  <c r="M70" i="14" l="1"/>
  <c r="O70" i="14" s="1"/>
  <c r="M69" i="14"/>
  <c r="O69" i="14" s="1"/>
  <c r="M68" i="14" l="1"/>
  <c r="O68" i="14" s="1"/>
  <c r="M67" i="14" l="1"/>
  <c r="O67" i="14" s="1"/>
  <c r="M66" i="14" l="1"/>
  <c r="O66" i="14" s="1"/>
  <c r="M65" i="14"/>
  <c r="O65" i="14" l="1"/>
  <c r="M64" i="14"/>
  <c r="O64" i="14" s="1"/>
  <c r="M63" i="14" l="1"/>
  <c r="M62" i="14"/>
  <c r="O62" i="14" l="1"/>
  <c r="M61" i="14" l="1"/>
  <c r="O61" i="14" s="1"/>
  <c r="M60" i="14"/>
  <c r="M59" i="14"/>
  <c r="O59" i="14" s="1"/>
  <c r="M58" i="14"/>
  <c r="K58" i="14"/>
  <c r="J58" i="14"/>
  <c r="I58" i="14"/>
  <c r="H58" i="14"/>
  <c r="M57" i="14"/>
  <c r="K57" i="14"/>
  <c r="J57" i="14"/>
  <c r="I57" i="14"/>
  <c r="H57" i="14"/>
  <c r="M56" i="14"/>
  <c r="J56" i="14"/>
  <c r="I56" i="14"/>
  <c r="H56" i="14"/>
  <c r="M55" i="14"/>
  <c r="O55" i="14" s="1"/>
  <c r="K55" i="14"/>
  <c r="J55" i="14"/>
  <c r="I55" i="14"/>
  <c r="H55" i="14"/>
  <c r="M54" i="14"/>
  <c r="J54" i="14"/>
  <c r="I54" i="14"/>
  <c r="H54" i="14"/>
  <c r="B54" i="14"/>
  <c r="M53" i="14"/>
  <c r="J53" i="14"/>
  <c r="I53" i="14"/>
  <c r="H53" i="14"/>
  <c r="M52" i="14"/>
  <c r="J52" i="14"/>
  <c r="I52" i="14"/>
  <c r="H52" i="14"/>
  <c r="B52" i="14"/>
  <c r="M51" i="14"/>
  <c r="J51" i="14"/>
  <c r="I51" i="14"/>
  <c r="H51" i="14"/>
  <c r="O51" i="14" l="1"/>
  <c r="O52" i="14"/>
  <c r="N58" i="14"/>
  <c r="J24" i="10" s="1"/>
  <c r="N53" i="14"/>
  <c r="N57" i="14"/>
  <c r="O56" i="14"/>
  <c r="N52" i="14"/>
  <c r="J17" i="10" s="1"/>
  <c r="N54" i="14"/>
  <c r="O57" i="14"/>
  <c r="N51" i="14"/>
  <c r="J16" i="10" s="1"/>
  <c r="O60" i="14"/>
  <c r="N55" i="14"/>
  <c r="J21" i="10" s="1"/>
  <c r="N56" i="14"/>
  <c r="J22" i="10" s="1"/>
  <c r="O53" i="14"/>
  <c r="B51" i="14"/>
  <c r="J23" i="10" l="1"/>
  <c r="J19" i="10"/>
  <c r="O58" i="14"/>
  <c r="J20" i="10"/>
  <c r="E62" i="14"/>
  <c r="M50" i="14"/>
  <c r="O50" i="14" s="1"/>
  <c r="J50" i="14"/>
  <c r="I50" i="14"/>
  <c r="N50" i="14" s="1"/>
  <c r="H50" i="14"/>
  <c r="M49" i="14"/>
  <c r="J49" i="14"/>
  <c r="I49" i="14"/>
  <c r="H49" i="14"/>
  <c r="D49" i="14"/>
  <c r="C49" i="14"/>
  <c r="B49" i="14"/>
  <c r="M48" i="14"/>
  <c r="J48" i="14"/>
  <c r="I48" i="14"/>
  <c r="H48" i="14"/>
  <c r="M47" i="14"/>
  <c r="O47" i="14" s="1"/>
  <c r="J47" i="14"/>
  <c r="I47" i="14"/>
  <c r="H47" i="14"/>
  <c r="M46" i="14"/>
  <c r="J46" i="14"/>
  <c r="I46" i="14"/>
  <c r="H46" i="14"/>
  <c r="M45" i="14"/>
  <c r="O45" i="14" s="1"/>
  <c r="J45" i="14"/>
  <c r="I45" i="14"/>
  <c r="H45" i="14"/>
  <c r="M44" i="14"/>
  <c r="J44" i="14"/>
  <c r="I44" i="14"/>
  <c r="H44" i="14"/>
  <c r="M43" i="14"/>
  <c r="O43" i="14" s="1"/>
  <c r="J43" i="14"/>
  <c r="I43" i="14"/>
  <c r="H43" i="14"/>
  <c r="M42" i="14"/>
  <c r="J42" i="14"/>
  <c r="I42" i="14"/>
  <c r="H42" i="14"/>
  <c r="D42" i="14"/>
  <c r="C42" i="14"/>
  <c r="B42" i="14"/>
  <c r="M41" i="14"/>
  <c r="O41" i="14" s="1"/>
  <c r="J41" i="14"/>
  <c r="I41" i="14"/>
  <c r="H41" i="14"/>
  <c r="C41" i="14"/>
  <c r="B41" i="14"/>
  <c r="M40" i="14"/>
  <c r="J40" i="14"/>
  <c r="I40" i="14"/>
  <c r="H40" i="14"/>
  <c r="M39" i="14"/>
  <c r="J39" i="14"/>
  <c r="I39" i="14"/>
  <c r="H39" i="14"/>
  <c r="N42" i="14" l="1"/>
  <c r="O40" i="14"/>
  <c r="N44" i="14"/>
  <c r="O46" i="14"/>
  <c r="O39" i="14"/>
  <c r="N48" i="14"/>
  <c r="N49" i="14"/>
  <c r="J14" i="10" s="1"/>
  <c r="N39" i="14"/>
  <c r="J4" i="10" s="1"/>
  <c r="N40" i="14"/>
  <c r="J5" i="10" s="1"/>
  <c r="O49" i="14"/>
  <c r="J15" i="10"/>
  <c r="E63" i="14"/>
  <c r="N47" i="14"/>
  <c r="J12" i="10" s="1"/>
  <c r="N45" i="14"/>
  <c r="J10" i="10" s="1"/>
  <c r="N41" i="14"/>
  <c r="J6" i="10" s="1"/>
  <c r="N43" i="14"/>
  <c r="J8" i="10" s="1"/>
  <c r="O48" i="14"/>
  <c r="N46" i="14"/>
  <c r="J11" i="10" s="1"/>
  <c r="O42" i="14"/>
  <c r="E39" i="14"/>
  <c r="M38" i="14"/>
  <c r="O38" i="14" s="1"/>
  <c r="J38" i="14"/>
  <c r="I38" i="14"/>
  <c r="H38" i="14"/>
  <c r="M37" i="14"/>
  <c r="J37" i="14"/>
  <c r="I37" i="14"/>
  <c r="H37" i="14"/>
  <c r="M36" i="14"/>
  <c r="O36" i="14" s="1"/>
  <c r="J36" i="14"/>
  <c r="I36" i="14"/>
  <c r="H36" i="14"/>
  <c r="M35" i="14"/>
  <c r="O35" i="14" s="1"/>
  <c r="I35" i="14"/>
  <c r="N35" i="14" s="1"/>
  <c r="H35" i="14"/>
  <c r="J7" i="10" l="1"/>
  <c r="E64" i="14"/>
  <c r="O37" i="14"/>
  <c r="N38" i="14"/>
  <c r="J3" i="10" s="1"/>
  <c r="N37" i="14"/>
  <c r="F38" i="10" s="1"/>
  <c r="F36" i="10"/>
  <c r="J13" i="10"/>
  <c r="E65" i="14"/>
  <c r="E66" i="14" s="1"/>
  <c r="N36" i="14"/>
  <c r="M34" i="14"/>
  <c r="O34" i="14" s="1"/>
  <c r="I34" i="14"/>
  <c r="N34" i="14" s="1"/>
  <c r="H34" i="14"/>
  <c r="M33" i="14"/>
  <c r="I33" i="14"/>
  <c r="N33" i="14" s="1"/>
  <c r="H33" i="14"/>
  <c r="M32" i="14"/>
  <c r="I32" i="14"/>
  <c r="N32" i="14" s="1"/>
  <c r="H32" i="14"/>
  <c r="M31" i="14"/>
  <c r="I31" i="14"/>
  <c r="N31" i="14" s="1"/>
  <c r="H31" i="14"/>
  <c r="M30" i="14"/>
  <c r="I30" i="14"/>
  <c r="N30" i="14" s="1"/>
  <c r="H30" i="14"/>
  <c r="M29" i="14"/>
  <c r="O29" i="14" s="1"/>
  <c r="K29" i="14"/>
  <c r="J29" i="14"/>
  <c r="I29" i="14"/>
  <c r="H29" i="14"/>
  <c r="M28" i="14"/>
  <c r="J28" i="14"/>
  <c r="I28" i="14"/>
  <c r="H28" i="14"/>
  <c r="M27" i="14"/>
  <c r="K27" i="14"/>
  <c r="J27" i="14"/>
  <c r="I27" i="14"/>
  <c r="H27" i="14"/>
  <c r="M26" i="14"/>
  <c r="K26" i="14"/>
  <c r="J26" i="14"/>
  <c r="I26" i="14"/>
  <c r="H26" i="14"/>
  <c r="C26" i="14"/>
  <c r="N70" i="14" s="1"/>
  <c r="I37" i="10" s="1"/>
  <c r="M25" i="14"/>
  <c r="J25" i="14"/>
  <c r="I25" i="14"/>
  <c r="H25" i="14"/>
  <c r="C25" i="14"/>
  <c r="M24" i="14"/>
  <c r="J24" i="14"/>
  <c r="I24" i="14"/>
  <c r="H24" i="14"/>
  <c r="C24" i="14"/>
  <c r="N68" i="14" s="1"/>
  <c r="I35" i="10" s="1"/>
  <c r="M23" i="14"/>
  <c r="O23" i="14" s="1"/>
  <c r="J23" i="14"/>
  <c r="I23" i="14"/>
  <c r="H23" i="14"/>
  <c r="C23" i="14"/>
  <c r="N67" i="14" s="1"/>
  <c r="I34" i="10" s="1"/>
  <c r="M22" i="14"/>
  <c r="K22" i="14"/>
  <c r="J22" i="14"/>
  <c r="I22" i="14"/>
  <c r="H22" i="14"/>
  <c r="N24" i="14" l="1"/>
  <c r="N25" i="14"/>
  <c r="N28" i="14"/>
  <c r="N22" i="14"/>
  <c r="O33" i="14"/>
  <c r="F34" i="10" s="1"/>
  <c r="O26" i="14"/>
  <c r="O31" i="14"/>
  <c r="E67" i="14"/>
  <c r="O24" i="14"/>
  <c r="N69" i="14"/>
  <c r="I36" i="10" s="1"/>
  <c r="N26" i="14"/>
  <c r="F26" i="10" s="1"/>
  <c r="N23" i="14"/>
  <c r="F23" i="10" s="1"/>
  <c r="N29" i="14"/>
  <c r="F30" i="10" s="1"/>
  <c r="O25" i="14"/>
  <c r="F25" i="10" s="1"/>
  <c r="F32" i="10"/>
  <c r="O22" i="14"/>
  <c r="O28" i="14"/>
  <c r="F35" i="10"/>
  <c r="F37" i="10"/>
  <c r="O30" i="14"/>
  <c r="F31" i="10" s="1"/>
  <c r="O32" i="14"/>
  <c r="F33" i="10" s="1"/>
  <c r="F24" i="10"/>
  <c r="O27" i="14"/>
  <c r="C22" i="14"/>
  <c r="N66" i="14" s="1"/>
  <c r="I33" i="10" s="1"/>
  <c r="M21" i="14"/>
  <c r="O21" i="14" s="1"/>
  <c r="K21" i="14"/>
  <c r="J21" i="14"/>
  <c r="I21" i="14"/>
  <c r="H21" i="14"/>
  <c r="C21" i="14"/>
  <c r="N65" i="14" s="1"/>
  <c r="I32" i="10" s="1"/>
  <c r="M20" i="14"/>
  <c r="K20" i="14"/>
  <c r="J20" i="14"/>
  <c r="I20" i="14"/>
  <c r="H20" i="14"/>
  <c r="F28" i="10" l="1"/>
  <c r="N20" i="14"/>
  <c r="E68" i="14"/>
  <c r="E69" i="14" s="1"/>
  <c r="F22" i="10"/>
  <c r="N21" i="14"/>
  <c r="F21" i="10" s="1"/>
  <c r="E70" i="14"/>
  <c r="O20" i="14"/>
  <c r="N27" i="14"/>
  <c r="F27" i="10" s="1"/>
  <c r="C20" i="14"/>
  <c r="M19" i="14"/>
  <c r="J19" i="14"/>
  <c r="I19" i="14"/>
  <c r="N19" i="14" s="1"/>
  <c r="H19" i="14"/>
  <c r="F20" i="10" l="1"/>
  <c r="O19" i="14"/>
  <c r="N64" i="14"/>
  <c r="I31" i="10" s="1"/>
  <c r="F19" i="10"/>
  <c r="C19" i="14"/>
  <c r="M18" i="14"/>
  <c r="K18" i="14"/>
  <c r="J18" i="14"/>
  <c r="I18" i="14"/>
  <c r="H18" i="14"/>
  <c r="N18" i="14" l="1"/>
  <c r="F18" i="10" s="1"/>
  <c r="O18" i="14"/>
  <c r="N63" i="14"/>
  <c r="I30" i="10" s="1"/>
  <c r="C18" i="14"/>
  <c r="M17" i="14"/>
  <c r="K17" i="14"/>
  <c r="J17" i="14"/>
  <c r="I17" i="14"/>
  <c r="H17" i="14"/>
  <c r="C17" i="14"/>
  <c r="N61" i="14" s="1"/>
  <c r="I28" i="10" s="1"/>
  <c r="M16" i="14"/>
  <c r="L16" i="14"/>
  <c r="K16" i="14"/>
  <c r="J16" i="14"/>
  <c r="I16" i="14"/>
  <c r="H16" i="14"/>
  <c r="C16" i="14"/>
  <c r="N60" i="14" s="1"/>
  <c r="I27" i="10" s="1"/>
  <c r="M15" i="14"/>
  <c r="O15" i="14" s="1"/>
  <c r="L15" i="14"/>
  <c r="K15" i="14"/>
  <c r="J15" i="14"/>
  <c r="I15" i="14"/>
  <c r="H15" i="14"/>
  <c r="C15" i="14"/>
  <c r="N59" i="14" s="1"/>
  <c r="I26" i="10" s="1"/>
  <c r="M14" i="14"/>
  <c r="O14" i="14" s="1"/>
  <c r="J14" i="14"/>
  <c r="I14" i="14"/>
  <c r="H14" i="14"/>
  <c r="M13" i="14"/>
  <c r="K13" i="14"/>
  <c r="J13" i="14"/>
  <c r="I13" i="14"/>
  <c r="H13" i="14"/>
  <c r="M12" i="14"/>
  <c r="O12" i="14" s="1"/>
  <c r="J12" i="14"/>
  <c r="I12" i="14"/>
  <c r="H12" i="14"/>
  <c r="C12" i="14"/>
  <c r="M11" i="14"/>
  <c r="J11" i="14"/>
  <c r="I11" i="14"/>
  <c r="H11" i="14"/>
  <c r="C11" i="14"/>
  <c r="M10" i="14"/>
  <c r="J10" i="14"/>
  <c r="I10" i="14"/>
  <c r="H10" i="14"/>
  <c r="C10" i="14"/>
  <c r="M9" i="14"/>
  <c r="J9" i="14"/>
  <c r="I9" i="14"/>
  <c r="H9" i="14"/>
  <c r="C9" i="14"/>
  <c r="M8" i="14"/>
  <c r="K8" i="14"/>
  <c r="J8" i="14"/>
  <c r="I8" i="14"/>
  <c r="N8" i="14" s="1"/>
  <c r="H8" i="14"/>
  <c r="M7" i="14"/>
  <c r="J7" i="14"/>
  <c r="I7" i="14"/>
  <c r="H7" i="14"/>
  <c r="M6" i="14"/>
  <c r="O6" i="14" s="1"/>
  <c r="J6" i="14"/>
  <c r="I6" i="14"/>
  <c r="H6" i="14"/>
  <c r="C6" i="14"/>
  <c r="M5" i="14"/>
  <c r="O5" i="14" s="1"/>
  <c r="C5" i="14"/>
  <c r="W4" i="14"/>
  <c r="V4" i="14"/>
  <c r="U4" i="14"/>
  <c r="T4" i="14"/>
  <c r="S4" i="14"/>
  <c r="R4" i="14"/>
  <c r="Q4" i="14"/>
  <c r="M4" i="14"/>
  <c r="O4" i="14" s="1"/>
  <c r="C4" i="14"/>
  <c r="M3" i="14"/>
  <c r="C3" i="14"/>
  <c r="M2" i="14"/>
  <c r="N11" i="14" l="1"/>
  <c r="F10" i="10" s="1"/>
  <c r="E19" i="14"/>
  <c r="O2" i="14"/>
  <c r="M78" i="14"/>
  <c r="G2" i="13" s="1"/>
  <c r="N14" i="14"/>
  <c r="F13" i="10" s="1"/>
  <c r="N9" i="14"/>
  <c r="N13" i="14"/>
  <c r="F12" i="10" s="1"/>
  <c r="N12" i="14"/>
  <c r="F11" i="10" s="1"/>
  <c r="O3" i="14"/>
  <c r="F3" i="10"/>
  <c r="F4" i="10"/>
  <c r="N15" i="14"/>
  <c r="F14" i="10" s="1"/>
  <c r="N16" i="14"/>
  <c r="O17" i="14"/>
  <c r="N62" i="14"/>
  <c r="I29" i="10" s="1"/>
  <c r="N6" i="14"/>
  <c r="F5" i="10" s="1"/>
  <c r="O9" i="14"/>
  <c r="O11" i="14"/>
  <c r="O13" i="14"/>
  <c r="O7" i="14"/>
  <c r="O16" i="14"/>
  <c r="N17" i="14"/>
  <c r="F17" i="10" s="1"/>
  <c r="O8" i="14"/>
  <c r="F7" i="10" s="1"/>
  <c r="O10" i="14"/>
  <c r="E2" i="14"/>
  <c r="C2" i="14"/>
  <c r="Z1" i="14"/>
  <c r="Y1" i="14"/>
  <c r="Y6" i="14" s="1"/>
  <c r="X1" i="14"/>
  <c r="X6" i="14" s="1"/>
  <c r="W1" i="14"/>
  <c r="W6" i="14" s="1"/>
  <c r="V1" i="14"/>
  <c r="V6" i="14" s="1"/>
  <c r="U1" i="14"/>
  <c r="U6" i="14" s="1"/>
  <c r="T1" i="14"/>
  <c r="T6" i="14" s="1"/>
  <c r="S1" i="14"/>
  <c r="S6" i="14" s="1"/>
  <c r="R1" i="14"/>
  <c r="R6" i="14" s="1"/>
  <c r="Q1" i="14"/>
  <c r="B105" i="13"/>
  <c r="B96" i="13"/>
  <c r="B87" i="13"/>
  <c r="B78" i="13"/>
  <c r="B69" i="13"/>
  <c r="B60" i="13"/>
  <c r="B51" i="13"/>
  <c r="B42" i="13"/>
  <c r="B33" i="13"/>
  <c r="B24" i="13"/>
  <c r="S18" i="13"/>
  <c r="S17" i="13"/>
  <c r="L15" i="13"/>
  <c r="B15" i="13"/>
  <c r="S14" i="13"/>
  <c r="S9" i="13"/>
  <c r="S8" i="13"/>
  <c r="L6" i="13"/>
  <c r="B6" i="13"/>
  <c r="O2" i="13"/>
  <c r="M2" i="13"/>
  <c r="E2" i="13"/>
  <c r="C2" i="13"/>
  <c r="B51" i="5"/>
  <c r="B42" i="5"/>
  <c r="B33" i="5"/>
  <c r="B24" i="5"/>
  <c r="B15" i="5"/>
  <c r="B6" i="5"/>
  <c r="E2" i="5"/>
  <c r="C2" i="5"/>
  <c r="I132" i="12"/>
  <c r="B132" i="12"/>
  <c r="I123" i="12"/>
  <c r="B123" i="12"/>
  <c r="I114" i="12"/>
  <c r="B114" i="12"/>
  <c r="I105" i="12"/>
  <c r="B105" i="12"/>
  <c r="I96" i="12"/>
  <c r="B96" i="12"/>
  <c r="I87" i="12"/>
  <c r="B87" i="12"/>
  <c r="I78" i="12"/>
  <c r="B78" i="12"/>
  <c r="I69" i="12"/>
  <c r="B69" i="12"/>
  <c r="I60" i="12"/>
  <c r="B60" i="12"/>
  <c r="I51" i="12"/>
  <c r="B51" i="12"/>
  <c r="I42" i="12"/>
  <c r="B42" i="12"/>
  <c r="I33" i="12"/>
  <c r="B33" i="12"/>
  <c r="I24" i="12"/>
  <c r="B24" i="12"/>
  <c r="I15" i="12"/>
  <c r="B15" i="12"/>
  <c r="I6" i="12"/>
  <c r="B6" i="12"/>
  <c r="E2" i="12"/>
  <c r="C2" i="12"/>
  <c r="I78" i="7"/>
  <c r="B78" i="7"/>
  <c r="I69" i="7"/>
  <c r="B69" i="7"/>
  <c r="I60" i="7"/>
  <c r="B60" i="7"/>
  <c r="I51" i="7"/>
  <c r="B51" i="7"/>
  <c r="I42" i="7"/>
  <c r="B42" i="7"/>
  <c r="I33" i="7"/>
  <c r="B33" i="7"/>
  <c r="I24" i="7"/>
  <c r="B24" i="7"/>
  <c r="I15" i="7"/>
  <c r="B15" i="7"/>
  <c r="I6" i="7"/>
  <c r="B6" i="7"/>
  <c r="E2" i="7"/>
  <c r="C2" i="7"/>
  <c r="B105" i="8"/>
  <c r="B96" i="8"/>
  <c r="B87" i="8"/>
  <c r="B78" i="8"/>
  <c r="B69" i="8"/>
  <c r="B60" i="8"/>
  <c r="B51" i="8"/>
  <c r="B42" i="8"/>
  <c r="B33" i="8"/>
  <c r="B24" i="8"/>
  <c r="B15" i="8"/>
  <c r="B6" i="8"/>
  <c r="E2" i="8"/>
  <c r="C2" i="8"/>
  <c r="B114" i="9"/>
  <c r="B105" i="9"/>
  <c r="B96" i="9"/>
  <c r="B87" i="9"/>
  <c r="B78" i="9"/>
  <c r="B69" i="9"/>
  <c r="B60" i="9"/>
  <c r="B51" i="9"/>
  <c r="B42" i="9"/>
  <c r="B33" i="9"/>
  <c r="B24" i="9"/>
  <c r="B15" i="9"/>
  <c r="B6" i="9"/>
  <c r="E2" i="9"/>
  <c r="C2" i="9"/>
  <c r="M24" i="15"/>
  <c r="M23" i="15"/>
  <c r="M22" i="15"/>
  <c r="M21" i="15"/>
  <c r="N20" i="15"/>
  <c r="M20" i="15"/>
  <c r="M19" i="15"/>
  <c r="M18" i="15"/>
  <c r="M17" i="15"/>
  <c r="M16" i="15"/>
  <c r="M15" i="15"/>
  <c r="M14" i="15"/>
  <c r="C14" i="15"/>
  <c r="M13" i="15"/>
  <c r="D13" i="15"/>
  <c r="M12" i="15"/>
  <c r="M11" i="15"/>
  <c r="M10" i="15"/>
  <c r="M9" i="15"/>
  <c r="M8" i="15"/>
  <c r="M7" i="15"/>
  <c r="M6" i="15"/>
  <c r="M5" i="15"/>
  <c r="C5" i="15"/>
  <c r="M4" i="15"/>
  <c r="D4" i="15"/>
  <c r="C4" i="15"/>
  <c r="M3" i="15"/>
  <c r="B16" i="10" s="1"/>
  <c r="M2" i="15"/>
  <c r="Q6" i="14" l="1"/>
  <c r="Z6" i="14" s="1"/>
  <c r="Z7" i="14" s="1"/>
  <c r="Z8" i="14" s="1"/>
  <c r="Q2" i="14"/>
  <c r="F15" i="10"/>
  <c r="E3" i="14"/>
  <c r="F8" i="10"/>
  <c r="B21" i="10"/>
  <c r="U2" i="14"/>
  <c r="S2" i="14" s="1"/>
  <c r="S19" i="13"/>
  <c r="S20" i="13" s="1"/>
  <c r="M40" i="10" s="1"/>
  <c r="J40" i="10" s="1"/>
  <c r="S15" i="13"/>
  <c r="G2" i="12"/>
  <c r="S10" i="13"/>
  <c r="S11" i="13" s="1"/>
  <c r="M39" i="10" s="1"/>
  <c r="J39" i="10" s="1"/>
  <c r="G2" i="5"/>
  <c r="G2" i="8"/>
  <c r="AB2" i="15"/>
  <c r="G2" i="9"/>
  <c r="G2" i="7"/>
  <c r="Q2" i="13"/>
  <c r="N7" i="14"/>
  <c r="F6" i="10" s="1"/>
  <c r="N10" i="14"/>
  <c r="F9" i="10" s="1"/>
  <c r="AH83" i="4"/>
  <c r="W83" i="4"/>
  <c r="A83" i="4"/>
  <c r="A76" i="4"/>
  <c r="A69" i="4"/>
  <c r="A62" i="4"/>
  <c r="A55" i="4"/>
  <c r="A48" i="4"/>
  <c r="A41" i="4"/>
  <c r="A34" i="4"/>
  <c r="A27" i="4"/>
  <c r="A20" i="4"/>
  <c r="A13" i="4"/>
  <c r="AH76" i="4"/>
  <c r="AH69" i="4"/>
  <c r="AH62" i="4"/>
  <c r="AH41" i="4"/>
  <c r="AH27" i="4"/>
  <c r="W76" i="4"/>
  <c r="W69" i="4"/>
  <c r="W62" i="4"/>
  <c r="W55" i="4"/>
  <c r="W48" i="4"/>
  <c r="W41" i="4"/>
  <c r="W34" i="4"/>
  <c r="W27" i="4"/>
  <c r="W20" i="4"/>
  <c r="W13" i="4"/>
  <c r="AH55" i="4"/>
  <c r="AH20" i="4"/>
  <c r="L83" i="4"/>
  <c r="L76" i="4"/>
  <c r="L69" i="4"/>
  <c r="L62" i="4"/>
  <c r="L55" i="4"/>
  <c r="L48" i="4"/>
  <c r="L41" i="4"/>
  <c r="L34" i="4"/>
  <c r="L27" i="4"/>
  <c r="L20" i="4"/>
  <c r="L13" i="4"/>
  <c r="AH48" i="4"/>
  <c r="AH34" i="4"/>
  <c r="AH13" i="4"/>
  <c r="L6" i="4"/>
  <c r="AH6" i="4"/>
  <c r="A6" i="4"/>
  <c r="W6" i="4"/>
  <c r="N3" i="10"/>
  <c r="A64" i="14"/>
  <c r="O63" i="14" s="1"/>
  <c r="A63" i="14"/>
  <c r="A62" i="14"/>
  <c r="A61" i="14"/>
  <c r="E42" i="10" l="1"/>
  <c r="E4" i="14"/>
  <c r="I43" i="10"/>
  <c r="B77" i="14" s="1"/>
  <c r="C77" i="14" s="1"/>
  <c r="A65" i="14"/>
  <c r="E5" i="14" l="1"/>
  <c r="E24" i="14"/>
  <c r="L92" i="4"/>
  <c r="A92" i="4" s="1"/>
  <c r="W92" i="4"/>
  <c r="AH92" i="4"/>
  <c r="E6" i="14" l="1"/>
  <c r="E25" i="14"/>
  <c r="S61" i="10"/>
  <c r="E7" i="14" l="1"/>
  <c r="E27" i="14"/>
  <c r="E8" i="14" l="1"/>
  <c r="E9" i="14" l="1"/>
  <c r="E10" i="14" l="1"/>
  <c r="E11" i="14" l="1"/>
  <c r="E12" i="14" l="1"/>
  <c r="E13" i="14" l="1"/>
  <c r="E14" i="14" l="1"/>
  <c r="E15" i="14" s="1"/>
  <c r="E16" i="14" l="1"/>
  <c r="E17" i="14" l="1"/>
  <c r="E18" i="14" s="1"/>
  <c r="E20" i="14" s="1"/>
  <c r="E21" i="14" s="1"/>
  <c r="E22" i="14" s="1"/>
  <c r="E23" i="14" s="1"/>
  <c r="E26" i="14" s="1"/>
  <c r="E28" i="14" s="1"/>
  <c r="E29" i="14" l="1"/>
  <c r="E30" i="14" l="1"/>
  <c r="E31" i="14" l="1"/>
  <c r="E32" i="14" l="1"/>
  <c r="E33" i="14" l="1"/>
  <c r="E34" i="14" l="1"/>
  <c r="E35" i="14" l="1"/>
  <c r="E36" i="14" l="1"/>
  <c r="O44" i="14"/>
  <c r="J9" i="10" s="1"/>
  <c r="I44" i="10" s="1"/>
  <c r="B78" i="14" s="1"/>
  <c r="C78" i="14" s="1"/>
  <c r="D78" i="14" s="1"/>
  <c r="B16" i="17" s="1"/>
  <c r="B15" i="17" l="1"/>
  <c r="B4" i="17"/>
  <c r="B17" i="17"/>
  <c r="E37" i="14"/>
  <c r="O54" i="14"/>
  <c r="B28" i="17" l="1"/>
  <c r="E29" i="17"/>
  <c r="B29" i="17"/>
  <c r="B27" i="17"/>
  <c r="E38" i="14"/>
  <c r="E77" i="14"/>
  <c r="E40" i="14" l="1"/>
  <c r="AI83" i="4"/>
  <c r="AH50" i="4"/>
  <c r="AL69" i="4"/>
  <c r="AL48" i="4"/>
  <c r="AH57" i="4"/>
  <c r="AL62" i="4"/>
  <c r="AI55" i="4"/>
  <c r="AH85" i="4"/>
  <c r="AH71" i="4"/>
  <c r="AL76" i="4"/>
  <c r="AL83" i="4"/>
  <c r="AH78" i="4"/>
  <c r="AI48" i="4"/>
  <c r="AI69" i="4"/>
  <c r="AH64" i="4"/>
  <c r="AI76" i="4"/>
  <c r="AL55" i="4"/>
  <c r="AI62" i="4"/>
  <c r="E41" i="14" l="1"/>
  <c r="E42" i="14" l="1"/>
  <c r="E43" i="14" l="1"/>
  <c r="E44" i="14" l="1"/>
  <c r="E45" i="14" l="1"/>
  <c r="E46" i="14" l="1"/>
  <c r="E47" i="14" l="1"/>
  <c r="E48" i="14" l="1"/>
  <c r="E49" i="14" l="1"/>
  <c r="E50" i="14" l="1"/>
  <c r="E51" i="14" l="1"/>
  <c r="AL41" i="4"/>
  <c r="AI34" i="4"/>
  <c r="AI41" i="4"/>
  <c r="AH43" i="4"/>
  <c r="AH36" i="4"/>
  <c r="AL34" i="4"/>
  <c r="E52" i="14" l="1"/>
  <c r="E53" i="14" l="1"/>
  <c r="X76" i="4"/>
  <c r="AH29" i="4"/>
  <c r="X62" i="4"/>
  <c r="X83" i="4"/>
  <c r="AH8" i="4"/>
  <c r="AL20" i="4"/>
  <c r="AA83" i="4"/>
  <c r="W71" i="4"/>
  <c r="AL27" i="4"/>
  <c r="AI27" i="4"/>
  <c r="AI20" i="4"/>
  <c r="W85" i="4"/>
  <c r="AA76" i="4"/>
  <c r="W64" i="4"/>
  <c r="AI6" i="4"/>
  <c r="W78" i="4"/>
  <c r="AL13" i="4"/>
  <c r="AH15" i="4"/>
  <c r="X69" i="4"/>
  <c r="AH22" i="4"/>
  <c r="AL6" i="4"/>
  <c r="AI13" i="4"/>
  <c r="E54" i="14" l="1"/>
  <c r="AA69" i="4"/>
  <c r="AA62" i="4"/>
  <c r="E55" i="14" l="1"/>
  <c r="E56" i="14" l="1"/>
  <c r="E57" i="14" l="1"/>
  <c r="E58" i="14" l="1"/>
  <c r="E59" i="14" l="1"/>
  <c r="E60" i="14" l="1"/>
  <c r="E61" i="14" l="1"/>
  <c r="E71" i="14" l="1"/>
  <c r="AA20" i="4"/>
  <c r="X20" i="4"/>
  <c r="W22" i="4"/>
  <c r="X34" i="4"/>
  <c r="W36" i="4"/>
  <c r="AA55" i="4"/>
  <c r="E73" i="14" l="1"/>
  <c r="B6" i="4" s="1"/>
  <c r="AA27" i="4"/>
  <c r="W29" i="4"/>
  <c r="X27" i="4"/>
  <c r="AA34" i="4"/>
  <c r="AA48" i="4"/>
  <c r="W50" i="4"/>
  <c r="X48" i="4"/>
  <c r="AA41" i="4"/>
  <c r="W43" i="4"/>
  <c r="X41" i="4"/>
  <c r="X55" i="4"/>
  <c r="W57" i="4"/>
  <c r="AA13" i="4" l="1"/>
  <c r="M76" i="4"/>
  <c r="M55" i="4"/>
  <c r="P55" i="4"/>
  <c r="M48" i="4"/>
  <c r="L43" i="4"/>
  <c r="L29" i="4"/>
  <c r="P27" i="4"/>
  <c r="P20" i="4"/>
  <c r="P13" i="4"/>
  <c r="M13" i="4"/>
  <c r="A85" i="4"/>
  <c r="B62" i="4"/>
  <c r="A57" i="4"/>
  <c r="A29" i="4"/>
  <c r="E27" i="4"/>
  <c r="E75" i="14"/>
  <c r="X13" i="4" s="1"/>
  <c r="E6" i="4"/>
  <c r="A8" i="4"/>
  <c r="B34" i="4"/>
  <c r="B41" i="4"/>
  <c r="M27" i="4"/>
  <c r="E13" i="4" l="1"/>
  <c r="A15" i="4"/>
  <c r="B13" i="4"/>
  <c r="X6" i="4"/>
  <c r="W8" i="4"/>
  <c r="W15" i="4"/>
  <c r="AA6" i="4"/>
  <c r="M83" i="4"/>
  <c r="P83" i="4"/>
  <c r="L85" i="4"/>
  <c r="P69" i="4"/>
  <c r="L78" i="4"/>
  <c r="P76" i="4"/>
  <c r="M69" i="4"/>
  <c r="L71" i="4"/>
  <c r="L50" i="4"/>
  <c r="L64" i="4"/>
  <c r="P62" i="4"/>
  <c r="M62" i="4"/>
  <c r="L57" i="4"/>
  <c r="P48" i="4"/>
  <c r="L8" i="4"/>
  <c r="M41" i="4"/>
  <c r="P41" i="4"/>
  <c r="M34" i="4"/>
  <c r="P34" i="4"/>
  <c r="L36" i="4"/>
  <c r="L22" i="4"/>
  <c r="M20" i="4"/>
  <c r="L15" i="4"/>
  <c r="M6" i="4"/>
  <c r="P6" i="4"/>
  <c r="B83" i="4"/>
  <c r="E83" i="4"/>
  <c r="B69" i="4"/>
  <c r="E76" i="4"/>
  <c r="B76" i="4"/>
  <c r="A78" i="4"/>
  <c r="E62" i="4"/>
  <c r="E69" i="4"/>
  <c r="A71" i="4"/>
  <c r="A64" i="4"/>
  <c r="E48" i="4"/>
  <c r="B55" i="4"/>
  <c r="E55" i="4"/>
  <c r="E41" i="4"/>
  <c r="A50" i="4"/>
  <c r="B48" i="4"/>
  <c r="A43" i="4"/>
  <c r="E76" i="14"/>
  <c r="E34" i="4"/>
  <c r="A36" i="4"/>
  <c r="B27" i="4"/>
  <c r="A22" i="4"/>
  <c r="B20" i="4"/>
  <c r="E20" i="4"/>
</calcChain>
</file>

<file path=xl/sharedStrings.xml><?xml version="1.0" encoding="utf-8"?>
<sst xmlns="http://schemas.openxmlformats.org/spreadsheetml/2006/main" count="774" uniqueCount="449">
  <si>
    <t>被保険者番号</t>
    <rPh sb="0" eb="4">
      <t>ヒホケンシャ</t>
    </rPh>
    <rPh sb="4" eb="6">
      <t>バンゴウ</t>
    </rPh>
    <phoneticPr fontId="1"/>
  </si>
  <si>
    <t>調査員所属機関</t>
    <rPh sb="0" eb="3">
      <t>チョウサイン</t>
    </rPh>
    <rPh sb="3" eb="5">
      <t>ショゾク</t>
    </rPh>
    <rPh sb="5" eb="7">
      <t>キカン</t>
    </rPh>
    <phoneticPr fontId="1"/>
  </si>
  <si>
    <t>訪問介護</t>
    <rPh sb="0" eb="2">
      <t>ホウモン</t>
    </rPh>
    <rPh sb="2" eb="4">
      <t>カイゴ</t>
    </rPh>
    <phoneticPr fontId="1"/>
  </si>
  <si>
    <t>療養指導</t>
    <rPh sb="0" eb="2">
      <t>リョウヨウ</t>
    </rPh>
    <rPh sb="2" eb="4">
      <t>シドウ</t>
    </rPh>
    <phoneticPr fontId="1"/>
  </si>
  <si>
    <t>短期療養</t>
    <rPh sb="0" eb="2">
      <t>タンキ</t>
    </rPh>
    <rPh sb="2" eb="4">
      <t>リョウヨウ</t>
    </rPh>
    <phoneticPr fontId="1"/>
  </si>
  <si>
    <t>訪問入浴</t>
    <rPh sb="0" eb="2">
      <t>ホウモン</t>
    </rPh>
    <rPh sb="2" eb="4">
      <t>ニュウヨク</t>
    </rPh>
    <phoneticPr fontId="1"/>
  </si>
  <si>
    <t>通所介護</t>
    <rPh sb="0" eb="2">
      <t>ツウショ</t>
    </rPh>
    <rPh sb="2" eb="4">
      <t>カイゴ</t>
    </rPh>
    <phoneticPr fontId="1"/>
  </si>
  <si>
    <t>特定施設</t>
    <rPh sb="0" eb="2">
      <t>トクテイ</t>
    </rPh>
    <rPh sb="2" eb="4">
      <t>シセツ</t>
    </rPh>
    <phoneticPr fontId="1"/>
  </si>
  <si>
    <t>認知通所</t>
    <rPh sb="0" eb="2">
      <t>ニンチ</t>
    </rPh>
    <rPh sb="2" eb="4">
      <t>ツウショ</t>
    </rPh>
    <phoneticPr fontId="1"/>
  </si>
  <si>
    <t>日</t>
    <rPh sb="0" eb="1">
      <t>ニチ</t>
    </rPh>
    <phoneticPr fontId="1"/>
  </si>
  <si>
    <t>訪問看護</t>
    <rPh sb="0" eb="2">
      <t>ホウモン</t>
    </rPh>
    <rPh sb="2" eb="4">
      <t>カンゴ</t>
    </rPh>
    <phoneticPr fontId="1"/>
  </si>
  <si>
    <t>通所リハ</t>
    <rPh sb="0" eb="2">
      <t>ツウショ</t>
    </rPh>
    <phoneticPr fontId="1"/>
  </si>
  <si>
    <t>用具貸与</t>
    <rPh sb="0" eb="2">
      <t>ヨウグ</t>
    </rPh>
    <rPh sb="2" eb="4">
      <t>タイヨ</t>
    </rPh>
    <phoneticPr fontId="1"/>
  </si>
  <si>
    <t>小規模居宅</t>
    <rPh sb="0" eb="3">
      <t>ショウキボ</t>
    </rPh>
    <rPh sb="3" eb="5">
      <t>キョタク</t>
    </rPh>
    <phoneticPr fontId="1"/>
  </si>
  <si>
    <t>訪問リハ</t>
    <rPh sb="0" eb="2">
      <t>ホウモン</t>
    </rPh>
    <phoneticPr fontId="1"/>
  </si>
  <si>
    <t>短期生活</t>
    <rPh sb="0" eb="2">
      <t>タンキ</t>
    </rPh>
    <rPh sb="2" eb="4">
      <t>セイカツ</t>
    </rPh>
    <phoneticPr fontId="1"/>
  </si>
  <si>
    <t>用具販売</t>
    <rPh sb="0" eb="2">
      <t>ヨウグ</t>
    </rPh>
    <rPh sb="2" eb="4">
      <t>ハンバイ</t>
    </rPh>
    <phoneticPr fontId="1"/>
  </si>
  <si>
    <t>認知共同</t>
    <rPh sb="0" eb="2">
      <t>ニンチ</t>
    </rPh>
    <rPh sb="2" eb="4">
      <t>キョウドウ</t>
    </rPh>
    <phoneticPr fontId="1"/>
  </si>
  <si>
    <t>市町村特別給付</t>
    <rPh sb="0" eb="3">
      <t>シチョウソン</t>
    </rPh>
    <rPh sb="3" eb="5">
      <t>トクベツ</t>
    </rPh>
    <rPh sb="5" eb="7">
      <t>キュウフ</t>
    </rPh>
    <phoneticPr fontId="1"/>
  </si>
  <si>
    <t>他在宅サービス</t>
    <rPh sb="0" eb="1">
      <t>ホカ</t>
    </rPh>
    <rPh sb="1" eb="3">
      <t>ザイタク</t>
    </rPh>
    <phoneticPr fontId="1"/>
  </si>
  <si>
    <t>介護保険調査票特記事項</t>
    <rPh sb="0" eb="2">
      <t>カイゴ</t>
    </rPh>
    <rPh sb="2" eb="4">
      <t>ホケン</t>
    </rPh>
    <rPh sb="4" eb="6">
      <t>チョウサ</t>
    </rPh>
    <rPh sb="6" eb="7">
      <t>ヒョウ</t>
    </rPh>
    <rPh sb="7" eb="9">
      <t>トッキ</t>
    </rPh>
    <rPh sb="9" eb="11">
      <t>ジコウ</t>
    </rPh>
    <phoneticPr fontId="7"/>
  </si>
  <si>
    <t>項番</t>
    <rPh sb="0" eb="1">
      <t>コウ</t>
    </rPh>
    <rPh sb="1" eb="2">
      <t>バン</t>
    </rPh>
    <phoneticPr fontId="7"/>
  </si>
  <si>
    <t>群情報</t>
    <rPh sb="0" eb="1">
      <t>グン</t>
    </rPh>
    <rPh sb="1" eb="3">
      <t>ジョウホウ</t>
    </rPh>
    <phoneticPr fontId="7"/>
  </si>
  <si>
    <t>特　記　事　項　の　内　容</t>
    <rPh sb="0" eb="1">
      <t>トク</t>
    </rPh>
    <rPh sb="2" eb="3">
      <t>キ</t>
    </rPh>
    <rPh sb="4" eb="5">
      <t>コト</t>
    </rPh>
    <rPh sb="6" eb="7">
      <t>コウ</t>
    </rPh>
    <rPh sb="10" eb="11">
      <t>ナイ</t>
    </rPh>
    <rPh sb="12" eb="13">
      <t>カタチ</t>
    </rPh>
    <phoneticPr fontId="7"/>
  </si>
  <si>
    <t>麻痺</t>
    <phoneticPr fontId="1"/>
  </si>
  <si>
    <t>1-2</t>
  </si>
  <si>
    <t>1-3</t>
  </si>
  <si>
    <t>拘縮</t>
    <phoneticPr fontId="1"/>
  </si>
  <si>
    <t>寝返り</t>
    <phoneticPr fontId="1"/>
  </si>
  <si>
    <t>起き上がり</t>
    <phoneticPr fontId="1"/>
  </si>
  <si>
    <t>座位保持</t>
    <phoneticPr fontId="1"/>
  </si>
  <si>
    <t>歩行</t>
    <phoneticPr fontId="1"/>
  </si>
  <si>
    <t>立ち上がり</t>
    <phoneticPr fontId="1"/>
  </si>
  <si>
    <t>洗身</t>
    <phoneticPr fontId="1"/>
  </si>
  <si>
    <t>つめ切り</t>
    <phoneticPr fontId="1"/>
  </si>
  <si>
    <t>視力</t>
    <phoneticPr fontId="1"/>
  </si>
  <si>
    <t>聴力</t>
    <rPh sb="0" eb="2">
      <t>チョウリョク</t>
    </rPh>
    <phoneticPr fontId="1"/>
  </si>
  <si>
    <t>1-1</t>
    <phoneticPr fontId="1"/>
  </si>
  <si>
    <t>1-4</t>
    <phoneticPr fontId="1"/>
  </si>
  <si>
    <t>1-5</t>
    <phoneticPr fontId="1"/>
  </si>
  <si>
    <t>1-6</t>
    <phoneticPr fontId="1"/>
  </si>
  <si>
    <t>1-7</t>
    <phoneticPr fontId="1"/>
  </si>
  <si>
    <t>1-8</t>
    <phoneticPr fontId="1"/>
  </si>
  <si>
    <t>1-9</t>
    <phoneticPr fontId="1"/>
  </si>
  <si>
    <t>1-10</t>
    <phoneticPr fontId="1"/>
  </si>
  <si>
    <t>1-11</t>
    <phoneticPr fontId="1"/>
  </si>
  <si>
    <t>1-12</t>
    <phoneticPr fontId="1"/>
  </si>
  <si>
    <t>1-13</t>
    <phoneticPr fontId="1"/>
  </si>
  <si>
    <t>自分で支えれば可</t>
    <rPh sb="0" eb="2">
      <t>ジブン</t>
    </rPh>
    <rPh sb="3" eb="4">
      <t>ササ</t>
    </rPh>
    <rPh sb="7" eb="8">
      <t>カ</t>
    </rPh>
    <phoneticPr fontId="1"/>
  </si>
  <si>
    <t>できる</t>
    <phoneticPr fontId="1"/>
  </si>
  <si>
    <t>つかまれば可</t>
    <rPh sb="5" eb="6">
      <t>カ</t>
    </rPh>
    <phoneticPr fontId="1"/>
  </si>
  <si>
    <t>できない</t>
    <phoneticPr fontId="1"/>
  </si>
  <si>
    <t>支えが必要</t>
    <rPh sb="0" eb="1">
      <t>ササ</t>
    </rPh>
    <rPh sb="3" eb="5">
      <t>ヒツヨウ</t>
    </rPh>
    <phoneticPr fontId="1"/>
  </si>
  <si>
    <t>一部介助</t>
    <rPh sb="0" eb="2">
      <t>イチブ</t>
    </rPh>
    <rPh sb="2" eb="4">
      <t>カイジョ</t>
    </rPh>
    <phoneticPr fontId="1"/>
  </si>
  <si>
    <t>全介助</t>
    <rPh sb="0" eb="1">
      <t>ゼン</t>
    </rPh>
    <rPh sb="1" eb="3">
      <t>カイジョ</t>
    </rPh>
    <phoneticPr fontId="1"/>
  </si>
  <si>
    <t>行っていない</t>
    <rPh sb="0" eb="1">
      <t>オコナ</t>
    </rPh>
    <phoneticPr fontId="1"/>
  </si>
  <si>
    <t>普通</t>
    <rPh sb="0" eb="2">
      <t>フツウ</t>
    </rPh>
    <phoneticPr fontId="1"/>
  </si>
  <si>
    <t>１ｍ先が見える</t>
    <rPh sb="2" eb="3">
      <t>サキ</t>
    </rPh>
    <rPh sb="4" eb="5">
      <t>ミ</t>
    </rPh>
    <phoneticPr fontId="1"/>
  </si>
  <si>
    <t>目の前が見える</t>
    <rPh sb="0" eb="1">
      <t>メ</t>
    </rPh>
    <rPh sb="2" eb="3">
      <t>マエ</t>
    </rPh>
    <rPh sb="4" eb="5">
      <t>ミ</t>
    </rPh>
    <phoneticPr fontId="1"/>
  </si>
  <si>
    <t>ほとんど見えず</t>
    <rPh sb="4" eb="5">
      <t>ミ</t>
    </rPh>
    <phoneticPr fontId="1"/>
  </si>
  <si>
    <t>判断不能</t>
    <rPh sb="0" eb="2">
      <t>ハンダン</t>
    </rPh>
    <rPh sb="2" eb="4">
      <t>フノウ</t>
    </rPh>
    <phoneticPr fontId="1"/>
  </si>
  <si>
    <t>やっと聞こえる</t>
    <rPh sb="3" eb="4">
      <t>キ</t>
    </rPh>
    <phoneticPr fontId="1"/>
  </si>
  <si>
    <t>大声が聞こえる</t>
    <rPh sb="0" eb="2">
      <t>オオゴエ</t>
    </rPh>
    <rPh sb="3" eb="4">
      <t>キ</t>
    </rPh>
    <phoneticPr fontId="1"/>
  </si>
  <si>
    <t>ほとんど聞こえず</t>
    <rPh sb="4" eb="5">
      <t>キ</t>
    </rPh>
    <phoneticPr fontId="1"/>
  </si>
  <si>
    <t>第２群　生活機能</t>
  </si>
  <si>
    <t>2-1</t>
    <phoneticPr fontId="1"/>
  </si>
  <si>
    <t>2-2</t>
  </si>
  <si>
    <t>2-3</t>
  </si>
  <si>
    <t>2-4</t>
  </si>
  <si>
    <t>2-5</t>
  </si>
  <si>
    <t>2-6</t>
  </si>
  <si>
    <t>2-7</t>
  </si>
  <si>
    <t>2-8</t>
  </si>
  <si>
    <t>2-9</t>
  </si>
  <si>
    <t>2-10</t>
    <phoneticPr fontId="1"/>
  </si>
  <si>
    <t>2-11</t>
    <phoneticPr fontId="1"/>
  </si>
  <si>
    <t>2-12</t>
    <phoneticPr fontId="1"/>
  </si>
  <si>
    <t>移乗</t>
    <rPh sb="0" eb="2">
      <t>イジョウ</t>
    </rPh>
    <phoneticPr fontId="1"/>
  </si>
  <si>
    <t>移動</t>
    <rPh sb="0" eb="2">
      <t>イドウ</t>
    </rPh>
    <phoneticPr fontId="1"/>
  </si>
  <si>
    <t>えん下</t>
    <rPh sb="2" eb="3">
      <t>シタ</t>
    </rPh>
    <phoneticPr fontId="1"/>
  </si>
  <si>
    <t>食事摂取</t>
    <rPh sb="0" eb="2">
      <t>ショクジ</t>
    </rPh>
    <rPh sb="2" eb="4">
      <t>セッシュ</t>
    </rPh>
    <phoneticPr fontId="1"/>
  </si>
  <si>
    <t>排尿</t>
    <rPh sb="0" eb="2">
      <t>ハイニョウ</t>
    </rPh>
    <phoneticPr fontId="1"/>
  </si>
  <si>
    <t>排便</t>
    <rPh sb="0" eb="2">
      <t>ハイベン</t>
    </rPh>
    <phoneticPr fontId="1"/>
  </si>
  <si>
    <t>口腔清潔</t>
    <rPh sb="0" eb="2">
      <t>コウクウ</t>
    </rPh>
    <rPh sb="2" eb="4">
      <t>セイケツ</t>
    </rPh>
    <phoneticPr fontId="1"/>
  </si>
  <si>
    <t>洗顔</t>
    <rPh sb="0" eb="2">
      <t>センガン</t>
    </rPh>
    <phoneticPr fontId="1"/>
  </si>
  <si>
    <t>整髪</t>
    <rPh sb="0" eb="2">
      <t>セイハツ</t>
    </rPh>
    <phoneticPr fontId="1"/>
  </si>
  <si>
    <t>上衣の着脱</t>
    <rPh sb="0" eb="1">
      <t>ウエ</t>
    </rPh>
    <rPh sb="1" eb="2">
      <t>ギヌ</t>
    </rPh>
    <rPh sb="3" eb="5">
      <t>チャクダツ</t>
    </rPh>
    <phoneticPr fontId="1"/>
  </si>
  <si>
    <t>ズボン等の着脱</t>
    <rPh sb="3" eb="4">
      <t>トウ</t>
    </rPh>
    <rPh sb="5" eb="7">
      <t>チャクダツ</t>
    </rPh>
    <phoneticPr fontId="1"/>
  </si>
  <si>
    <t>外出頻度</t>
    <rPh sb="0" eb="2">
      <t>ガイシュツ</t>
    </rPh>
    <rPh sb="2" eb="4">
      <t>ヒンド</t>
    </rPh>
    <phoneticPr fontId="1"/>
  </si>
  <si>
    <t>見守り等</t>
    <rPh sb="0" eb="2">
      <t>ミマモ</t>
    </rPh>
    <rPh sb="3" eb="4">
      <t>トウ</t>
    </rPh>
    <phoneticPr fontId="1"/>
  </si>
  <si>
    <t>介助されていない</t>
    <rPh sb="0" eb="2">
      <t>カイジョ</t>
    </rPh>
    <phoneticPr fontId="1"/>
  </si>
  <si>
    <t>週１回以上</t>
    <rPh sb="0" eb="1">
      <t>シュウ</t>
    </rPh>
    <rPh sb="2" eb="3">
      <t>カイ</t>
    </rPh>
    <rPh sb="3" eb="5">
      <t>イジョウ</t>
    </rPh>
    <phoneticPr fontId="1"/>
  </si>
  <si>
    <t>月１回以上</t>
    <rPh sb="0" eb="1">
      <t>ツキ</t>
    </rPh>
    <rPh sb="2" eb="3">
      <t>カイ</t>
    </rPh>
    <rPh sb="3" eb="5">
      <t>イジョウ</t>
    </rPh>
    <phoneticPr fontId="1"/>
  </si>
  <si>
    <t>月１回未満</t>
    <rPh sb="0" eb="1">
      <t>ツキ</t>
    </rPh>
    <rPh sb="2" eb="3">
      <t>カイ</t>
    </rPh>
    <rPh sb="3" eb="5">
      <t>ミマン</t>
    </rPh>
    <phoneticPr fontId="1"/>
  </si>
  <si>
    <t>第１群　身体機能・起居動作</t>
  </si>
  <si>
    <t>第３群　認知機能</t>
    <rPh sb="4" eb="6">
      <t>ニンチ</t>
    </rPh>
    <rPh sb="6" eb="8">
      <t>キノウ</t>
    </rPh>
    <phoneticPr fontId="1"/>
  </si>
  <si>
    <t>3-2</t>
    <phoneticPr fontId="1"/>
  </si>
  <si>
    <t>3-1</t>
  </si>
  <si>
    <t>3-3</t>
  </si>
  <si>
    <t>3-4</t>
  </si>
  <si>
    <t>3-5</t>
  </si>
  <si>
    <t>3-6</t>
  </si>
  <si>
    <t>3-7</t>
  </si>
  <si>
    <t>3-8</t>
  </si>
  <si>
    <t>3-9</t>
  </si>
  <si>
    <t>意思の伝達</t>
    <rPh sb="0" eb="2">
      <t>イシ</t>
    </rPh>
    <rPh sb="3" eb="5">
      <t>デンタツ</t>
    </rPh>
    <phoneticPr fontId="1"/>
  </si>
  <si>
    <t>毎日の
日課を理解</t>
    <rPh sb="0" eb="2">
      <t>マイニチ</t>
    </rPh>
    <rPh sb="4" eb="6">
      <t>ニッカ</t>
    </rPh>
    <rPh sb="7" eb="9">
      <t>リカイ</t>
    </rPh>
    <phoneticPr fontId="1"/>
  </si>
  <si>
    <t>生年月日を言う</t>
    <rPh sb="0" eb="2">
      <t>セイネン</t>
    </rPh>
    <rPh sb="2" eb="4">
      <t>ガッピ</t>
    </rPh>
    <rPh sb="5" eb="6">
      <t>イ</t>
    </rPh>
    <phoneticPr fontId="1"/>
  </si>
  <si>
    <t>短期記憶</t>
    <rPh sb="0" eb="2">
      <t>タンキ</t>
    </rPh>
    <rPh sb="2" eb="4">
      <t>キオク</t>
    </rPh>
    <phoneticPr fontId="1"/>
  </si>
  <si>
    <t>自分の
名前を言う</t>
    <rPh sb="0" eb="2">
      <t>ジブン</t>
    </rPh>
    <rPh sb="4" eb="6">
      <t>ナマエ</t>
    </rPh>
    <rPh sb="7" eb="8">
      <t>イ</t>
    </rPh>
    <phoneticPr fontId="1"/>
  </si>
  <si>
    <t>今の季節を理解</t>
    <rPh sb="0" eb="1">
      <t>イマ</t>
    </rPh>
    <rPh sb="2" eb="4">
      <t>キセツ</t>
    </rPh>
    <rPh sb="5" eb="7">
      <t>リカイ</t>
    </rPh>
    <phoneticPr fontId="1"/>
  </si>
  <si>
    <t>場所の理解</t>
    <rPh sb="0" eb="2">
      <t>バショ</t>
    </rPh>
    <rPh sb="3" eb="5">
      <t>リカイ</t>
    </rPh>
    <phoneticPr fontId="1"/>
  </si>
  <si>
    <t>徘徊</t>
    <rPh sb="0" eb="2">
      <t>ハイカイ</t>
    </rPh>
    <phoneticPr fontId="1"/>
  </si>
  <si>
    <t>外出して戻れない</t>
    <rPh sb="0" eb="2">
      <t>ガイシュツ</t>
    </rPh>
    <rPh sb="4" eb="5">
      <t>モド</t>
    </rPh>
    <phoneticPr fontId="1"/>
  </si>
  <si>
    <t>できる</t>
    <phoneticPr fontId="1"/>
  </si>
  <si>
    <t>ときどきできる</t>
    <phoneticPr fontId="1"/>
  </si>
  <si>
    <t>ほとんど不可</t>
    <rPh sb="4" eb="6">
      <t>フカ</t>
    </rPh>
    <phoneticPr fontId="1"/>
  </si>
  <si>
    <t>ない</t>
    <phoneticPr fontId="1"/>
  </si>
  <si>
    <t>ときどきある</t>
    <phoneticPr fontId="1"/>
  </si>
  <si>
    <t>4-4</t>
    <phoneticPr fontId="1"/>
  </si>
  <si>
    <t>4-1</t>
  </si>
  <si>
    <t>4-2</t>
  </si>
  <si>
    <t>4-5</t>
  </si>
  <si>
    <t>4-6</t>
  </si>
  <si>
    <t>4-7</t>
  </si>
  <si>
    <t>4-8</t>
  </si>
  <si>
    <t>4-9</t>
  </si>
  <si>
    <t>4-10</t>
    <phoneticPr fontId="1"/>
  </si>
  <si>
    <t>4-11</t>
    <phoneticPr fontId="1"/>
  </si>
  <si>
    <t>4-12</t>
    <phoneticPr fontId="1"/>
  </si>
  <si>
    <t>4-13</t>
    <phoneticPr fontId="1"/>
  </si>
  <si>
    <t>4-14</t>
    <phoneticPr fontId="1"/>
  </si>
  <si>
    <t>4-15</t>
    <phoneticPr fontId="1"/>
  </si>
  <si>
    <t>被害的</t>
    <rPh sb="0" eb="3">
      <t>ヒガイテキ</t>
    </rPh>
    <phoneticPr fontId="1"/>
  </si>
  <si>
    <t>作話</t>
    <rPh sb="0" eb="1">
      <t>ツク</t>
    </rPh>
    <rPh sb="1" eb="2">
      <t>バナシ</t>
    </rPh>
    <phoneticPr fontId="1"/>
  </si>
  <si>
    <t>4-3</t>
    <phoneticPr fontId="1"/>
  </si>
  <si>
    <t>昼夜逆転</t>
    <rPh sb="0" eb="2">
      <t>チュウヤ</t>
    </rPh>
    <rPh sb="2" eb="4">
      <t>ギャクテン</t>
    </rPh>
    <phoneticPr fontId="1"/>
  </si>
  <si>
    <t>大声を出す</t>
    <rPh sb="0" eb="2">
      <t>オオゴエ</t>
    </rPh>
    <rPh sb="3" eb="4">
      <t>ダ</t>
    </rPh>
    <phoneticPr fontId="1"/>
  </si>
  <si>
    <t>介護に抵抗</t>
    <rPh sb="0" eb="2">
      <t>カイゴ</t>
    </rPh>
    <rPh sb="3" eb="5">
      <t>テイコウ</t>
    </rPh>
    <phoneticPr fontId="1"/>
  </si>
  <si>
    <t>落ち着きなし</t>
    <rPh sb="0" eb="1">
      <t>オ</t>
    </rPh>
    <rPh sb="2" eb="3">
      <t>ツ</t>
    </rPh>
    <phoneticPr fontId="1"/>
  </si>
  <si>
    <t>一人で
出たがる</t>
    <rPh sb="0" eb="2">
      <t>ヒトリ</t>
    </rPh>
    <rPh sb="4" eb="5">
      <t>デ</t>
    </rPh>
    <phoneticPr fontId="1"/>
  </si>
  <si>
    <t>収集癖</t>
    <rPh sb="0" eb="2">
      <t>シュウシュウ</t>
    </rPh>
    <rPh sb="2" eb="3">
      <t>ヘキ</t>
    </rPh>
    <phoneticPr fontId="1"/>
  </si>
  <si>
    <t>物や衣類
を壊す</t>
    <rPh sb="0" eb="1">
      <t>モノ</t>
    </rPh>
    <rPh sb="2" eb="4">
      <t>イルイ</t>
    </rPh>
    <rPh sb="6" eb="7">
      <t>コワ</t>
    </rPh>
    <phoneticPr fontId="1"/>
  </si>
  <si>
    <t>独り言・
独り笑い</t>
    <rPh sb="0" eb="1">
      <t>ヒト</t>
    </rPh>
    <rPh sb="2" eb="3">
      <t>ゴト</t>
    </rPh>
    <rPh sb="5" eb="6">
      <t>ヒト</t>
    </rPh>
    <rPh sb="7" eb="8">
      <t>ワラ</t>
    </rPh>
    <phoneticPr fontId="1"/>
  </si>
  <si>
    <t>自分勝手に行動する</t>
    <rPh sb="0" eb="2">
      <t>ジブン</t>
    </rPh>
    <rPh sb="2" eb="4">
      <t>カッテ</t>
    </rPh>
    <rPh sb="5" eb="7">
      <t>コウドウ</t>
    </rPh>
    <phoneticPr fontId="1"/>
  </si>
  <si>
    <t>話がまとまらない</t>
    <rPh sb="0" eb="1">
      <t>ハナシ</t>
    </rPh>
    <phoneticPr fontId="1"/>
  </si>
  <si>
    <t>ない</t>
    <phoneticPr fontId="1"/>
  </si>
  <si>
    <t>ときどきある</t>
    <phoneticPr fontId="1"/>
  </si>
  <si>
    <t>ある</t>
    <phoneticPr fontId="1"/>
  </si>
  <si>
    <t>第４群　精神・行動障害</t>
    <rPh sb="4" eb="6">
      <t>セイシン</t>
    </rPh>
    <rPh sb="7" eb="9">
      <t>コウドウ</t>
    </rPh>
    <rPh sb="9" eb="11">
      <t>ショウガイ</t>
    </rPh>
    <phoneticPr fontId="1"/>
  </si>
  <si>
    <t>第５群　社会生活への適応</t>
    <rPh sb="4" eb="6">
      <t>シャカイ</t>
    </rPh>
    <rPh sb="6" eb="8">
      <t>セイカツ</t>
    </rPh>
    <rPh sb="10" eb="12">
      <t>テキオウ</t>
    </rPh>
    <phoneticPr fontId="1"/>
  </si>
  <si>
    <t>5-1</t>
  </si>
  <si>
    <t>5-2</t>
  </si>
  <si>
    <t>5-3</t>
  </si>
  <si>
    <t>5-5</t>
  </si>
  <si>
    <t>5-6</t>
  </si>
  <si>
    <t>5-4</t>
    <phoneticPr fontId="1"/>
  </si>
  <si>
    <t>薬の内服</t>
    <rPh sb="0" eb="1">
      <t>クスリ</t>
    </rPh>
    <rPh sb="2" eb="4">
      <t>ナイフク</t>
    </rPh>
    <phoneticPr fontId="1"/>
  </si>
  <si>
    <t>金銭の管理</t>
    <rPh sb="0" eb="2">
      <t>キンセン</t>
    </rPh>
    <rPh sb="3" eb="5">
      <t>カンリ</t>
    </rPh>
    <phoneticPr fontId="1"/>
  </si>
  <si>
    <t>日常の
意思決定</t>
    <rPh sb="0" eb="2">
      <t>ニチジョウ</t>
    </rPh>
    <rPh sb="4" eb="6">
      <t>イシ</t>
    </rPh>
    <rPh sb="6" eb="8">
      <t>ケッテイ</t>
    </rPh>
    <phoneticPr fontId="1"/>
  </si>
  <si>
    <t>集団への
不適応</t>
    <rPh sb="0" eb="2">
      <t>シュウダン</t>
    </rPh>
    <rPh sb="5" eb="8">
      <t>フテキオウ</t>
    </rPh>
    <phoneticPr fontId="1"/>
  </si>
  <si>
    <t>買い物</t>
    <rPh sb="0" eb="1">
      <t>カ</t>
    </rPh>
    <rPh sb="2" eb="3">
      <t>モノ</t>
    </rPh>
    <phoneticPr fontId="1"/>
  </si>
  <si>
    <t>簡単な調理</t>
    <rPh sb="0" eb="2">
      <t>カンタン</t>
    </rPh>
    <rPh sb="3" eb="5">
      <t>チョウリ</t>
    </rPh>
    <phoneticPr fontId="1"/>
  </si>
  <si>
    <t>特別時以外可</t>
    <rPh sb="0" eb="2">
      <t>トクベツ</t>
    </rPh>
    <rPh sb="2" eb="3">
      <t>ジ</t>
    </rPh>
    <rPh sb="3" eb="5">
      <t>イガイ</t>
    </rPh>
    <rPh sb="5" eb="6">
      <t>カ</t>
    </rPh>
    <phoneticPr fontId="1"/>
  </si>
  <si>
    <t>日常的に困難</t>
    <rPh sb="0" eb="3">
      <t>ニチジョウテキ</t>
    </rPh>
    <rPh sb="4" eb="6">
      <t>コンナン</t>
    </rPh>
    <phoneticPr fontId="1"/>
  </si>
  <si>
    <t>できない</t>
    <phoneticPr fontId="1"/>
  </si>
  <si>
    <t>第６群　過去14日間に受けた特別な医療</t>
    <rPh sb="4" eb="6">
      <t>カコ</t>
    </rPh>
    <rPh sb="8" eb="10">
      <t>ニチカン</t>
    </rPh>
    <rPh sb="11" eb="12">
      <t>ウ</t>
    </rPh>
    <rPh sb="14" eb="16">
      <t>トクベツ</t>
    </rPh>
    <rPh sb="17" eb="19">
      <t>イリョウ</t>
    </rPh>
    <phoneticPr fontId="1"/>
  </si>
  <si>
    <t>6-1</t>
  </si>
  <si>
    <t>6-2</t>
  </si>
  <si>
    <t>6-3</t>
  </si>
  <si>
    <t>6-4</t>
  </si>
  <si>
    <t>6-6</t>
  </si>
  <si>
    <t>6-5</t>
    <phoneticPr fontId="1"/>
  </si>
  <si>
    <t>6-7</t>
    <phoneticPr fontId="1"/>
  </si>
  <si>
    <t>6-8</t>
    <phoneticPr fontId="1"/>
  </si>
  <si>
    <t>6-9</t>
    <phoneticPr fontId="1"/>
  </si>
  <si>
    <t>6-10</t>
    <phoneticPr fontId="1"/>
  </si>
  <si>
    <t>6-11</t>
    <phoneticPr fontId="1"/>
  </si>
  <si>
    <t>6-12</t>
    <phoneticPr fontId="1"/>
  </si>
  <si>
    <t>点滴の管理</t>
    <rPh sb="0" eb="2">
      <t>テンテキ</t>
    </rPh>
    <rPh sb="3" eb="5">
      <t>カンリ</t>
    </rPh>
    <phoneticPr fontId="1"/>
  </si>
  <si>
    <t>中心静脈栄養</t>
    <rPh sb="0" eb="2">
      <t>チュウシン</t>
    </rPh>
    <rPh sb="2" eb="4">
      <t>ジョウミャク</t>
    </rPh>
    <rPh sb="4" eb="6">
      <t>エイヨウ</t>
    </rPh>
    <phoneticPr fontId="1"/>
  </si>
  <si>
    <t>透析</t>
    <rPh sb="0" eb="2">
      <t>トウセキ</t>
    </rPh>
    <phoneticPr fontId="1"/>
  </si>
  <si>
    <t>ストーマの処置</t>
    <rPh sb="5" eb="7">
      <t>ショチ</t>
    </rPh>
    <phoneticPr fontId="1"/>
  </si>
  <si>
    <t>酸素療法</t>
    <rPh sb="0" eb="2">
      <t>サンソ</t>
    </rPh>
    <rPh sb="2" eb="4">
      <t>リョウホウ</t>
    </rPh>
    <phoneticPr fontId="1"/>
  </si>
  <si>
    <t>レスピレーター</t>
    <phoneticPr fontId="1"/>
  </si>
  <si>
    <t>気管切開
の処置</t>
    <rPh sb="0" eb="2">
      <t>キカン</t>
    </rPh>
    <rPh sb="2" eb="4">
      <t>セッカイ</t>
    </rPh>
    <rPh sb="6" eb="8">
      <t>ショチ</t>
    </rPh>
    <phoneticPr fontId="1"/>
  </si>
  <si>
    <t>疼痛の看護</t>
    <rPh sb="0" eb="2">
      <t>トウツウ</t>
    </rPh>
    <rPh sb="3" eb="5">
      <t>カンゴ</t>
    </rPh>
    <phoneticPr fontId="1"/>
  </si>
  <si>
    <t>経管栄養</t>
    <rPh sb="0" eb="1">
      <t>キョウ</t>
    </rPh>
    <rPh sb="1" eb="2">
      <t>カン</t>
    </rPh>
    <rPh sb="2" eb="4">
      <t>エイヨウ</t>
    </rPh>
    <phoneticPr fontId="1"/>
  </si>
  <si>
    <t>モニター測定</t>
    <rPh sb="4" eb="6">
      <t>ソクテイ</t>
    </rPh>
    <phoneticPr fontId="1"/>
  </si>
  <si>
    <t>じょくそう
の処置</t>
    <rPh sb="7" eb="9">
      <t>ショチ</t>
    </rPh>
    <phoneticPr fontId="1"/>
  </si>
  <si>
    <t>カテーテル</t>
    <phoneticPr fontId="1"/>
  </si>
  <si>
    <t>両足での立位</t>
    <phoneticPr fontId="1"/>
  </si>
  <si>
    <t>片足での立位</t>
    <phoneticPr fontId="1"/>
  </si>
  <si>
    <t>感情が不安定</t>
    <rPh sb="0" eb="2">
      <t>カンジョウ</t>
    </rPh>
    <rPh sb="3" eb="6">
      <t>フアンテイ</t>
    </rPh>
    <phoneticPr fontId="1"/>
  </si>
  <si>
    <t>同じ話をする</t>
    <rPh sb="0" eb="1">
      <t>オナ</t>
    </rPh>
    <rPh sb="2" eb="3">
      <t>ハナシ</t>
    </rPh>
    <phoneticPr fontId="1"/>
  </si>
  <si>
    <t>ひどい物忘れ</t>
    <rPh sb="3" eb="5">
      <t>モノワス</t>
    </rPh>
    <phoneticPr fontId="1"/>
  </si>
  <si>
    <t>第１群</t>
    <rPh sb="0" eb="1">
      <t>ダイ</t>
    </rPh>
    <rPh sb="2" eb="3">
      <t>グン</t>
    </rPh>
    <phoneticPr fontId="1"/>
  </si>
  <si>
    <t>麻痺</t>
    <rPh sb="0" eb="2">
      <t>マヒ</t>
    </rPh>
    <phoneticPr fontId="1"/>
  </si>
  <si>
    <t>左上肢</t>
    <rPh sb="0" eb="1">
      <t>ヒダリ</t>
    </rPh>
    <rPh sb="1" eb="3">
      <t>ジョウシ</t>
    </rPh>
    <phoneticPr fontId="1"/>
  </si>
  <si>
    <t>右上肢</t>
    <rPh sb="0" eb="1">
      <t>ミギ</t>
    </rPh>
    <rPh sb="1" eb="3">
      <t>ジョウシ</t>
    </rPh>
    <phoneticPr fontId="1"/>
  </si>
  <si>
    <t>左下肢</t>
    <rPh sb="0" eb="1">
      <t>ヒダリ</t>
    </rPh>
    <rPh sb="1" eb="3">
      <t>カシ</t>
    </rPh>
    <phoneticPr fontId="1"/>
  </si>
  <si>
    <t>右下肢</t>
    <rPh sb="0" eb="1">
      <t>ミギ</t>
    </rPh>
    <rPh sb="1" eb="3">
      <t>カシ</t>
    </rPh>
    <phoneticPr fontId="1"/>
  </si>
  <si>
    <t>その他</t>
    <rPh sb="2" eb="3">
      <t>ホカ</t>
    </rPh>
    <phoneticPr fontId="1"/>
  </si>
  <si>
    <t>拘縮</t>
    <rPh sb="0" eb="1">
      <t>コウ</t>
    </rPh>
    <rPh sb="1" eb="2">
      <t>チヂミ</t>
    </rPh>
    <phoneticPr fontId="1"/>
  </si>
  <si>
    <t>肩</t>
    <rPh sb="0" eb="1">
      <t>カタ</t>
    </rPh>
    <phoneticPr fontId="1"/>
  </si>
  <si>
    <t>股</t>
    <rPh sb="0" eb="1">
      <t>マタ</t>
    </rPh>
    <phoneticPr fontId="1"/>
  </si>
  <si>
    <t>膝</t>
    <rPh sb="0" eb="1">
      <t>ヒザ</t>
    </rPh>
    <phoneticPr fontId="1"/>
  </si>
  <si>
    <t>第６群</t>
    <rPh sb="0" eb="1">
      <t>ダイ</t>
    </rPh>
    <rPh sb="2" eb="3">
      <t>グン</t>
    </rPh>
    <phoneticPr fontId="1"/>
  </si>
  <si>
    <t>点滴</t>
    <rPh sb="0" eb="2">
      <t>テンテキ</t>
    </rPh>
    <phoneticPr fontId="1"/>
  </si>
  <si>
    <t>中心静脈</t>
    <rPh sb="0" eb="2">
      <t>チュウシン</t>
    </rPh>
    <rPh sb="2" eb="4">
      <t>ジョウミャク</t>
    </rPh>
    <phoneticPr fontId="1"/>
  </si>
  <si>
    <t>ストーマ</t>
    <phoneticPr fontId="1"/>
  </si>
  <si>
    <t>レスピ</t>
    <phoneticPr fontId="1"/>
  </si>
  <si>
    <t>気管切開</t>
    <rPh sb="0" eb="2">
      <t>キカン</t>
    </rPh>
    <rPh sb="2" eb="4">
      <t>セッカイ</t>
    </rPh>
    <phoneticPr fontId="1"/>
  </si>
  <si>
    <t>疼痛看護</t>
    <rPh sb="0" eb="2">
      <t>トウツウ</t>
    </rPh>
    <rPh sb="2" eb="4">
      <t>カンゴ</t>
    </rPh>
    <phoneticPr fontId="1"/>
  </si>
  <si>
    <t>モニター</t>
    <phoneticPr fontId="1"/>
  </si>
  <si>
    <t>じょくそう</t>
    <phoneticPr fontId="1"/>
  </si>
  <si>
    <t>第７群　日常生活自立度</t>
    <rPh sb="4" eb="6">
      <t>ニチジョウ</t>
    </rPh>
    <rPh sb="6" eb="8">
      <t>セイカツ</t>
    </rPh>
    <rPh sb="8" eb="11">
      <t>ジリツド</t>
    </rPh>
    <phoneticPr fontId="1"/>
  </si>
  <si>
    <t>7-1</t>
    <phoneticPr fontId="1"/>
  </si>
  <si>
    <t>7-2</t>
    <phoneticPr fontId="1"/>
  </si>
  <si>
    <t>障害自立度</t>
    <rPh sb="0" eb="2">
      <t>ショウガイ</t>
    </rPh>
    <rPh sb="2" eb="5">
      <t>ジリツド</t>
    </rPh>
    <phoneticPr fontId="1"/>
  </si>
  <si>
    <t>認知自立度</t>
    <rPh sb="0" eb="2">
      <t>ニンチ</t>
    </rPh>
    <rPh sb="2" eb="5">
      <t>ジリツド</t>
    </rPh>
    <phoneticPr fontId="1"/>
  </si>
  <si>
    <t>１－１　麻痺等の有無</t>
    <rPh sb="4" eb="6">
      <t>マヒ</t>
    </rPh>
    <rPh sb="6" eb="7">
      <t>トウ</t>
    </rPh>
    <rPh sb="8" eb="10">
      <t>ウム</t>
    </rPh>
    <phoneticPr fontId="7"/>
  </si>
  <si>
    <t>１－２　拘縮の有無</t>
    <rPh sb="7" eb="9">
      <t>ウム</t>
    </rPh>
    <phoneticPr fontId="7"/>
  </si>
  <si>
    <t>１－３　寝返り</t>
    <rPh sb="4" eb="6">
      <t>ネガエ</t>
    </rPh>
    <phoneticPr fontId="7"/>
  </si>
  <si>
    <t>１－４　起き上がり</t>
    <rPh sb="4" eb="5">
      <t>オ</t>
    </rPh>
    <rPh sb="6" eb="7">
      <t>ア</t>
    </rPh>
    <phoneticPr fontId="7"/>
  </si>
  <si>
    <t>１－５　座位保持</t>
    <rPh sb="4" eb="6">
      <t>ザイ</t>
    </rPh>
    <rPh sb="6" eb="8">
      <t>ホジ</t>
    </rPh>
    <phoneticPr fontId="7"/>
  </si>
  <si>
    <t>１－７　歩行</t>
    <rPh sb="4" eb="6">
      <t>ホコウ</t>
    </rPh>
    <phoneticPr fontId="7"/>
  </si>
  <si>
    <t>１－８　立ち上がり</t>
    <rPh sb="4" eb="5">
      <t>タ</t>
    </rPh>
    <rPh sb="6" eb="7">
      <t>ア</t>
    </rPh>
    <phoneticPr fontId="7"/>
  </si>
  <si>
    <t>１－９　片足での立位</t>
    <rPh sb="4" eb="6">
      <t>カタアシ</t>
    </rPh>
    <rPh sb="8" eb="10">
      <t>リツイ</t>
    </rPh>
    <phoneticPr fontId="7"/>
  </si>
  <si>
    <t>１－１０　洗身</t>
    <rPh sb="5" eb="6">
      <t>アラ</t>
    </rPh>
    <rPh sb="6" eb="7">
      <t>ミ</t>
    </rPh>
    <phoneticPr fontId="7"/>
  </si>
  <si>
    <t>１－１１　つめ切り</t>
    <rPh sb="7" eb="8">
      <t>キ</t>
    </rPh>
    <phoneticPr fontId="7"/>
  </si>
  <si>
    <t>１－１２　視力</t>
    <rPh sb="5" eb="7">
      <t>シリョク</t>
    </rPh>
    <phoneticPr fontId="7"/>
  </si>
  <si>
    <t>１－１３　聴力</t>
    <rPh sb="5" eb="7">
      <t>チョウリョク</t>
    </rPh>
    <phoneticPr fontId="7"/>
  </si>
  <si>
    <t>２－１　移乗</t>
    <rPh sb="4" eb="6">
      <t>イジョウ</t>
    </rPh>
    <phoneticPr fontId="7"/>
  </si>
  <si>
    <t>２－２　移動</t>
    <rPh sb="4" eb="6">
      <t>イドウ</t>
    </rPh>
    <phoneticPr fontId="7"/>
  </si>
  <si>
    <t>２－３　えん下</t>
    <rPh sb="6" eb="7">
      <t>シタ</t>
    </rPh>
    <phoneticPr fontId="7"/>
  </si>
  <si>
    <t>２－４　食事摂取</t>
    <rPh sb="4" eb="6">
      <t>ショクジ</t>
    </rPh>
    <rPh sb="6" eb="8">
      <t>セッシュ</t>
    </rPh>
    <phoneticPr fontId="7"/>
  </si>
  <si>
    <t>２－５　排尿</t>
    <rPh sb="4" eb="6">
      <t>ハイニョウ</t>
    </rPh>
    <phoneticPr fontId="7"/>
  </si>
  <si>
    <t>２－６　排便</t>
    <rPh sb="4" eb="6">
      <t>ハイベン</t>
    </rPh>
    <phoneticPr fontId="7"/>
  </si>
  <si>
    <t>２－７　口腔清潔</t>
    <rPh sb="4" eb="6">
      <t>コウクウ</t>
    </rPh>
    <rPh sb="6" eb="8">
      <t>セイケツ</t>
    </rPh>
    <phoneticPr fontId="7"/>
  </si>
  <si>
    <t>２－８　洗顔</t>
    <rPh sb="4" eb="6">
      <t>センガン</t>
    </rPh>
    <phoneticPr fontId="7"/>
  </si>
  <si>
    <t>２－９　整髪</t>
    <rPh sb="4" eb="6">
      <t>セイハツ</t>
    </rPh>
    <phoneticPr fontId="7"/>
  </si>
  <si>
    <t>２－１０　上衣の着脱</t>
    <rPh sb="5" eb="6">
      <t>ジョウ</t>
    </rPh>
    <rPh sb="6" eb="7">
      <t>ギヌ</t>
    </rPh>
    <rPh sb="8" eb="10">
      <t>チャクダツ</t>
    </rPh>
    <phoneticPr fontId="7"/>
  </si>
  <si>
    <t>２－１１　ズボン等の着脱</t>
    <rPh sb="8" eb="9">
      <t>トウ</t>
    </rPh>
    <rPh sb="10" eb="12">
      <t>チャクダツ</t>
    </rPh>
    <phoneticPr fontId="7"/>
  </si>
  <si>
    <t>２－１２　外出頻度</t>
    <rPh sb="5" eb="7">
      <t>ガイシュツ</t>
    </rPh>
    <rPh sb="7" eb="9">
      <t>ヒンド</t>
    </rPh>
    <phoneticPr fontId="7"/>
  </si>
  <si>
    <t>３－１　意思の伝達</t>
    <rPh sb="4" eb="6">
      <t>イシ</t>
    </rPh>
    <rPh sb="7" eb="9">
      <t>デンタツ</t>
    </rPh>
    <phoneticPr fontId="7"/>
  </si>
  <si>
    <t>３－２　毎日の日課を理解</t>
    <rPh sb="4" eb="6">
      <t>マイニチ</t>
    </rPh>
    <rPh sb="7" eb="9">
      <t>ニッカ</t>
    </rPh>
    <rPh sb="10" eb="12">
      <t>リカイ</t>
    </rPh>
    <phoneticPr fontId="7"/>
  </si>
  <si>
    <t>３－４　短期記憶</t>
    <rPh sb="4" eb="6">
      <t>タンキ</t>
    </rPh>
    <rPh sb="6" eb="8">
      <t>キオク</t>
    </rPh>
    <phoneticPr fontId="7"/>
  </si>
  <si>
    <t>３－５　自分の名前を言う</t>
    <rPh sb="4" eb="6">
      <t>ジブン</t>
    </rPh>
    <rPh sb="7" eb="9">
      <t>ナマエ</t>
    </rPh>
    <rPh sb="10" eb="11">
      <t>イ</t>
    </rPh>
    <phoneticPr fontId="7"/>
  </si>
  <si>
    <t>３－７　場所の理解</t>
    <rPh sb="4" eb="6">
      <t>バショ</t>
    </rPh>
    <rPh sb="7" eb="9">
      <t>リカイ</t>
    </rPh>
    <phoneticPr fontId="7"/>
  </si>
  <si>
    <t>３－８　徘徊</t>
    <rPh sb="4" eb="6">
      <t>ハイカイ</t>
    </rPh>
    <phoneticPr fontId="7"/>
  </si>
  <si>
    <t>４－１　被害的</t>
    <rPh sb="4" eb="6">
      <t>ヒガイ</t>
    </rPh>
    <rPh sb="6" eb="7">
      <t>テキ</t>
    </rPh>
    <phoneticPr fontId="7"/>
  </si>
  <si>
    <t>４－２　作話</t>
    <rPh sb="4" eb="5">
      <t>ツク</t>
    </rPh>
    <rPh sb="5" eb="6">
      <t>ハナシ</t>
    </rPh>
    <phoneticPr fontId="7"/>
  </si>
  <si>
    <t>４－３　感情が不安定</t>
    <rPh sb="4" eb="6">
      <t>カンジョウ</t>
    </rPh>
    <rPh sb="7" eb="10">
      <t>フアンテイ</t>
    </rPh>
    <phoneticPr fontId="7"/>
  </si>
  <si>
    <t>４－４　昼夜逆転</t>
    <rPh sb="4" eb="6">
      <t>チュウヤ</t>
    </rPh>
    <rPh sb="6" eb="8">
      <t>ギャクテン</t>
    </rPh>
    <phoneticPr fontId="7"/>
  </si>
  <si>
    <t>４－５　同じ話をする</t>
    <rPh sb="4" eb="5">
      <t>オナ</t>
    </rPh>
    <rPh sb="6" eb="7">
      <t>ハナシ</t>
    </rPh>
    <phoneticPr fontId="7"/>
  </si>
  <si>
    <t>４－６　大声を出す</t>
    <rPh sb="4" eb="6">
      <t>オオゴエ</t>
    </rPh>
    <rPh sb="7" eb="8">
      <t>ダ</t>
    </rPh>
    <phoneticPr fontId="7"/>
  </si>
  <si>
    <t>４－７　介護に抵抗</t>
    <rPh sb="4" eb="6">
      <t>カイゴ</t>
    </rPh>
    <rPh sb="7" eb="9">
      <t>テイコウ</t>
    </rPh>
    <phoneticPr fontId="7"/>
  </si>
  <si>
    <t>４－８　落ち着きなし</t>
    <rPh sb="4" eb="5">
      <t>オ</t>
    </rPh>
    <rPh sb="6" eb="7">
      <t>ツ</t>
    </rPh>
    <phoneticPr fontId="7"/>
  </si>
  <si>
    <t xml:space="preserve">４－９　一人で出たがる  </t>
    <rPh sb="4" eb="6">
      <t>ヒトリ</t>
    </rPh>
    <rPh sb="7" eb="8">
      <t>デ</t>
    </rPh>
    <phoneticPr fontId="7"/>
  </si>
  <si>
    <t xml:space="preserve">４－１０　収集癖  </t>
    <rPh sb="5" eb="7">
      <t>シュウシュウ</t>
    </rPh>
    <rPh sb="7" eb="8">
      <t>ヘキ</t>
    </rPh>
    <phoneticPr fontId="7"/>
  </si>
  <si>
    <t xml:space="preserve">４－１１　物や衣類を壊す </t>
    <rPh sb="5" eb="6">
      <t>モノ</t>
    </rPh>
    <rPh sb="7" eb="9">
      <t>イルイ</t>
    </rPh>
    <rPh sb="10" eb="11">
      <t>コワ</t>
    </rPh>
    <phoneticPr fontId="7"/>
  </si>
  <si>
    <t>４－１２　ひどい物忘れ</t>
    <rPh sb="8" eb="10">
      <t>モノワス</t>
    </rPh>
    <phoneticPr fontId="7"/>
  </si>
  <si>
    <t>４－１３　独り言・独り笑い</t>
    <rPh sb="5" eb="6">
      <t>ヒト</t>
    </rPh>
    <rPh sb="7" eb="8">
      <t>ゴト</t>
    </rPh>
    <rPh sb="9" eb="10">
      <t>ヒト</t>
    </rPh>
    <rPh sb="11" eb="12">
      <t>ワラ</t>
    </rPh>
    <phoneticPr fontId="7"/>
  </si>
  <si>
    <t>４－１４　自分勝手に行動する</t>
    <rPh sb="5" eb="7">
      <t>ジブン</t>
    </rPh>
    <rPh sb="7" eb="9">
      <t>カッテ</t>
    </rPh>
    <rPh sb="10" eb="12">
      <t>コウドウ</t>
    </rPh>
    <phoneticPr fontId="7"/>
  </si>
  <si>
    <t>４－１５　話がまとまらない</t>
    <rPh sb="5" eb="6">
      <t>ハナシ</t>
    </rPh>
    <phoneticPr fontId="7"/>
  </si>
  <si>
    <t>５－１　薬の内服</t>
    <rPh sb="4" eb="5">
      <t>クスリ</t>
    </rPh>
    <rPh sb="6" eb="8">
      <t>ナイフク</t>
    </rPh>
    <phoneticPr fontId="7"/>
  </si>
  <si>
    <t>５－２　金銭の管理</t>
    <rPh sb="4" eb="6">
      <t>キンセン</t>
    </rPh>
    <rPh sb="7" eb="9">
      <t>カンリ</t>
    </rPh>
    <phoneticPr fontId="7"/>
  </si>
  <si>
    <t>５－３　日常の意思決定</t>
    <rPh sb="4" eb="6">
      <t>ニチジョウ</t>
    </rPh>
    <rPh sb="7" eb="9">
      <t>イシ</t>
    </rPh>
    <rPh sb="9" eb="11">
      <t>ケッテイ</t>
    </rPh>
    <phoneticPr fontId="7"/>
  </si>
  <si>
    <t>５－４　集団への不適応</t>
    <rPh sb="4" eb="6">
      <t>シュウダン</t>
    </rPh>
    <rPh sb="8" eb="11">
      <t>フテキオウ</t>
    </rPh>
    <phoneticPr fontId="7"/>
  </si>
  <si>
    <t>５－５　買い物</t>
    <rPh sb="4" eb="5">
      <t>カ</t>
    </rPh>
    <rPh sb="6" eb="7">
      <t>モノ</t>
    </rPh>
    <phoneticPr fontId="7"/>
  </si>
  <si>
    <t>５－６　簡単な調理</t>
    <rPh sb="4" eb="6">
      <t>カンタン</t>
    </rPh>
    <rPh sb="7" eb="9">
      <t>チョウリ</t>
    </rPh>
    <phoneticPr fontId="7"/>
  </si>
  <si>
    <t>６－１　点滴の管理</t>
    <rPh sb="4" eb="6">
      <t>テンテキ</t>
    </rPh>
    <rPh sb="7" eb="9">
      <t>カンリ</t>
    </rPh>
    <phoneticPr fontId="7"/>
  </si>
  <si>
    <t>６－２　中心静脈栄養</t>
    <rPh sb="4" eb="6">
      <t>チュウシン</t>
    </rPh>
    <rPh sb="6" eb="8">
      <t>ジョウミャク</t>
    </rPh>
    <rPh sb="8" eb="10">
      <t>エイヨウ</t>
    </rPh>
    <phoneticPr fontId="7"/>
  </si>
  <si>
    <t>６－３　透析</t>
    <rPh sb="4" eb="6">
      <t>トウセキ</t>
    </rPh>
    <phoneticPr fontId="7"/>
  </si>
  <si>
    <t>６－４　ストーマの処置</t>
    <rPh sb="9" eb="11">
      <t>ショチ</t>
    </rPh>
    <phoneticPr fontId="7"/>
  </si>
  <si>
    <t>６－５　酸素療法</t>
    <rPh sb="4" eb="6">
      <t>サンソ</t>
    </rPh>
    <rPh sb="6" eb="8">
      <t>リョウホウ</t>
    </rPh>
    <phoneticPr fontId="7"/>
  </si>
  <si>
    <t>６－６　レスピレーター</t>
    <phoneticPr fontId="7"/>
  </si>
  <si>
    <t>６－７　気管切開の処置</t>
    <rPh sb="4" eb="6">
      <t>キカン</t>
    </rPh>
    <rPh sb="6" eb="8">
      <t>セッカイ</t>
    </rPh>
    <rPh sb="9" eb="11">
      <t>ショチ</t>
    </rPh>
    <phoneticPr fontId="7"/>
  </si>
  <si>
    <t>６－８　疼痛の看護</t>
    <phoneticPr fontId="7"/>
  </si>
  <si>
    <t>６－９　経管栄養</t>
    <rPh sb="4" eb="5">
      <t>キョウ</t>
    </rPh>
    <rPh sb="5" eb="6">
      <t>カン</t>
    </rPh>
    <rPh sb="6" eb="8">
      <t>エイヨウ</t>
    </rPh>
    <phoneticPr fontId="7"/>
  </si>
  <si>
    <t>６－１０　モニター測定</t>
    <rPh sb="9" eb="11">
      <t>ソクテイ</t>
    </rPh>
    <phoneticPr fontId="7"/>
  </si>
  <si>
    <t>６－１１　じょくそうの処置</t>
    <rPh sb="11" eb="13">
      <t>ショチ</t>
    </rPh>
    <phoneticPr fontId="7"/>
  </si>
  <si>
    <t>６－１２　カテーテル</t>
    <phoneticPr fontId="7"/>
  </si>
  <si>
    <t>７－１　障害高齢者自立度</t>
    <rPh sb="4" eb="6">
      <t>ショウガイ</t>
    </rPh>
    <rPh sb="6" eb="9">
      <t>コウレイシャ</t>
    </rPh>
    <rPh sb="9" eb="12">
      <t>ジリツド</t>
    </rPh>
    <phoneticPr fontId="7"/>
  </si>
  <si>
    <t>７－２　認知症高齢者自立度</t>
    <rPh sb="4" eb="6">
      <t>ニンチ</t>
    </rPh>
    <rPh sb="6" eb="7">
      <t>ショウ</t>
    </rPh>
    <rPh sb="7" eb="10">
      <t>コウレイシャ</t>
    </rPh>
    <rPh sb="10" eb="13">
      <t>ジリツド</t>
    </rPh>
    <phoneticPr fontId="7"/>
  </si>
  <si>
    <t>１．身体機能・起居動作</t>
    <phoneticPr fontId="7"/>
  </si>
  <si>
    <t>２．生活機能</t>
    <rPh sb="2" eb="4">
      <t>セイカツ</t>
    </rPh>
    <rPh sb="4" eb="6">
      <t>キノウ</t>
    </rPh>
    <phoneticPr fontId="7"/>
  </si>
  <si>
    <t>３．認知機能</t>
    <rPh sb="2" eb="4">
      <t>ニンチ</t>
    </rPh>
    <rPh sb="4" eb="6">
      <t>キノウ</t>
    </rPh>
    <phoneticPr fontId="7"/>
  </si>
  <si>
    <t>４．精神・行動障害</t>
    <rPh sb="2" eb="4">
      <t>セイシン</t>
    </rPh>
    <rPh sb="5" eb="7">
      <t>コウドウ</t>
    </rPh>
    <rPh sb="7" eb="9">
      <t>ショウガイ</t>
    </rPh>
    <phoneticPr fontId="7"/>
  </si>
  <si>
    <t>５．社会生活への適応</t>
    <rPh sb="2" eb="4">
      <t>シャカイ</t>
    </rPh>
    <rPh sb="4" eb="6">
      <t>セイカツ</t>
    </rPh>
    <rPh sb="8" eb="10">
      <t>テキオウ</t>
    </rPh>
    <phoneticPr fontId="7"/>
  </si>
  <si>
    <t>６．特別な医療</t>
    <phoneticPr fontId="7"/>
  </si>
  <si>
    <t>７．日常生活自立度</t>
    <rPh sb="2" eb="4">
      <t>ニチジョウ</t>
    </rPh>
    <rPh sb="4" eb="6">
      <t>セイカツ</t>
    </rPh>
    <rPh sb="6" eb="9">
      <t>ジリツド</t>
    </rPh>
    <phoneticPr fontId="7"/>
  </si>
  <si>
    <t>群情報</t>
    <rPh sb="0" eb="1">
      <t>グン</t>
    </rPh>
    <rPh sb="1" eb="3">
      <t>ジョウホウ</t>
    </rPh>
    <phoneticPr fontId="1"/>
  </si>
  <si>
    <t>特記事項の内容</t>
    <rPh sb="0" eb="2">
      <t>トッキ</t>
    </rPh>
    <rPh sb="2" eb="4">
      <t>ジコウ</t>
    </rPh>
    <rPh sb="5" eb="7">
      <t>ナイヨウ</t>
    </rPh>
    <phoneticPr fontId="1"/>
  </si>
  <si>
    <t>選択項目</t>
    <rPh sb="0" eb="2">
      <t>センタク</t>
    </rPh>
    <rPh sb="2" eb="4">
      <t>コウモク</t>
    </rPh>
    <phoneticPr fontId="1"/>
  </si>
  <si>
    <t>特記事項</t>
    <rPh sb="0" eb="2">
      <t>トッキ</t>
    </rPh>
    <rPh sb="2" eb="4">
      <t>ジコウ</t>
    </rPh>
    <phoneticPr fontId="1"/>
  </si>
  <si>
    <t>OCR</t>
    <phoneticPr fontId="1"/>
  </si>
  <si>
    <t>年</t>
    <rPh sb="0" eb="1">
      <t>ネン</t>
    </rPh>
    <phoneticPr fontId="1"/>
  </si>
  <si>
    <t>月</t>
    <rPh sb="0" eb="1">
      <t>ガツ</t>
    </rPh>
    <phoneticPr fontId="1"/>
  </si>
  <si>
    <t>性別</t>
    <rPh sb="0" eb="2">
      <t>セイベツ</t>
    </rPh>
    <phoneticPr fontId="1"/>
  </si>
  <si>
    <t>男</t>
    <rPh sb="0" eb="1">
      <t>オトコ</t>
    </rPh>
    <phoneticPr fontId="1"/>
  </si>
  <si>
    <t>女</t>
    <rPh sb="0" eb="1">
      <t>オンナ</t>
    </rPh>
    <phoneticPr fontId="1"/>
  </si>
  <si>
    <t>和暦</t>
    <rPh sb="0" eb="2">
      <t>ワレキ</t>
    </rPh>
    <phoneticPr fontId="1"/>
  </si>
  <si>
    <t>明治</t>
    <rPh sb="0" eb="2">
      <t>メイジ</t>
    </rPh>
    <phoneticPr fontId="1"/>
  </si>
  <si>
    <t>大正</t>
    <rPh sb="0" eb="2">
      <t>タイショウ</t>
    </rPh>
    <phoneticPr fontId="1"/>
  </si>
  <si>
    <t>昭和</t>
    <rPh sb="0" eb="2">
      <t>ショウワ</t>
    </rPh>
    <phoneticPr fontId="1"/>
  </si>
  <si>
    <t>平成</t>
    <rPh sb="0" eb="2">
      <t>ヘイセイ</t>
    </rPh>
    <phoneticPr fontId="1"/>
  </si>
  <si>
    <t>保険者番号</t>
    <rPh sb="0" eb="2">
      <t>ホケン</t>
    </rPh>
    <rPh sb="2" eb="3">
      <t>モノ</t>
    </rPh>
    <rPh sb="3" eb="5">
      <t>バンゴウ</t>
    </rPh>
    <phoneticPr fontId="1"/>
  </si>
  <si>
    <t>性別</t>
    <rPh sb="0" eb="2">
      <t>セイベツ</t>
    </rPh>
    <phoneticPr fontId="1"/>
  </si>
  <si>
    <t>生年元号</t>
    <rPh sb="0" eb="2">
      <t>セイネン</t>
    </rPh>
    <rPh sb="2" eb="4">
      <t>ゲンゴウ</t>
    </rPh>
    <phoneticPr fontId="1"/>
  </si>
  <si>
    <t>現在の介護度</t>
    <rPh sb="0" eb="2">
      <t>ゲンザイ</t>
    </rPh>
    <rPh sb="3" eb="5">
      <t>カイゴ</t>
    </rPh>
    <rPh sb="5" eb="6">
      <t>ド</t>
    </rPh>
    <phoneticPr fontId="1"/>
  </si>
  <si>
    <t>介護</t>
    <rPh sb="0" eb="2">
      <t>カイゴ</t>
    </rPh>
    <phoneticPr fontId="1"/>
  </si>
  <si>
    <t>支援</t>
    <rPh sb="0" eb="2">
      <t>シエン</t>
    </rPh>
    <phoneticPr fontId="1"/>
  </si>
  <si>
    <t>なし</t>
    <phoneticPr fontId="1"/>
  </si>
  <si>
    <t>現在介護度</t>
    <rPh sb="0" eb="2">
      <t>ゲンザイ</t>
    </rPh>
    <rPh sb="2" eb="4">
      <t>カイゴ</t>
    </rPh>
    <rPh sb="4" eb="5">
      <t>ド</t>
    </rPh>
    <phoneticPr fontId="1"/>
  </si>
  <si>
    <t>被保険者番号</t>
    <rPh sb="0" eb="1">
      <t>ヒ</t>
    </rPh>
    <rPh sb="1" eb="3">
      <t>ホケン</t>
    </rPh>
    <rPh sb="3" eb="4">
      <t>モノ</t>
    </rPh>
    <rPh sb="4" eb="6">
      <t>バンゴウ</t>
    </rPh>
    <phoneticPr fontId="1"/>
  </si>
  <si>
    <t>利用施設</t>
    <rPh sb="0" eb="2">
      <t>リヨウ</t>
    </rPh>
    <rPh sb="2" eb="4">
      <t>シセツ</t>
    </rPh>
    <phoneticPr fontId="1"/>
  </si>
  <si>
    <r>
      <t>性別　</t>
    </r>
    <r>
      <rPr>
        <u/>
        <sz val="9"/>
        <rFont val="ＭＳ Ｐゴシック"/>
        <family val="3"/>
        <charset val="128"/>
        <scheme val="minor"/>
      </rPr>
      <t>（1：男　2：女）</t>
    </r>
    <rPh sb="0" eb="2">
      <t>セイベツ</t>
    </rPh>
    <rPh sb="6" eb="7">
      <t>オトコ</t>
    </rPh>
    <rPh sb="10" eb="11">
      <t>オンナ</t>
    </rPh>
    <phoneticPr fontId="1"/>
  </si>
  <si>
    <r>
      <t>生年月日　</t>
    </r>
    <r>
      <rPr>
        <u/>
        <sz val="9"/>
        <color theme="1"/>
        <rFont val="ＭＳ Ｐゴシック"/>
        <family val="3"/>
        <charset val="128"/>
        <scheme val="minor"/>
      </rPr>
      <t>（1：明治　2：大正　3：昭和）</t>
    </r>
    <rPh sb="0" eb="2">
      <t>セイネン</t>
    </rPh>
    <rPh sb="2" eb="4">
      <t>ガッピ</t>
    </rPh>
    <rPh sb="8" eb="10">
      <t>メイジ</t>
    </rPh>
    <rPh sb="13" eb="15">
      <t>タイショウ</t>
    </rPh>
    <rPh sb="18" eb="20">
      <t>ショウワ</t>
    </rPh>
    <phoneticPr fontId="1"/>
  </si>
  <si>
    <r>
      <t>現在の介護度　</t>
    </r>
    <r>
      <rPr>
        <u/>
        <sz val="9"/>
        <color theme="1"/>
        <rFont val="ＭＳ Ｐゴシック"/>
        <family val="3"/>
        <charset val="128"/>
        <scheme val="minor"/>
      </rPr>
      <t>（1：介護　2：支援　3：なし）</t>
    </r>
    <rPh sb="0" eb="2">
      <t>ゲンザイ</t>
    </rPh>
    <rPh sb="3" eb="5">
      <t>カイゴ</t>
    </rPh>
    <rPh sb="5" eb="6">
      <t>ド</t>
    </rPh>
    <rPh sb="10" eb="12">
      <t>カイゴ</t>
    </rPh>
    <rPh sb="15" eb="17">
      <t>シエン</t>
    </rPh>
    <phoneticPr fontId="1"/>
  </si>
  <si>
    <r>
      <t>夜間訪問　</t>
    </r>
    <r>
      <rPr>
        <u/>
        <sz val="9"/>
        <color theme="1"/>
        <rFont val="ＭＳ Ｐゴシック"/>
        <family val="3"/>
        <charset val="128"/>
        <scheme val="minor"/>
      </rPr>
      <t>※介護給付のみ</t>
    </r>
    <rPh sb="0" eb="2">
      <t>ヤカン</t>
    </rPh>
    <rPh sb="2" eb="4">
      <t>ホウモン</t>
    </rPh>
    <phoneticPr fontId="1"/>
  </si>
  <si>
    <r>
      <t>地域福祉　</t>
    </r>
    <r>
      <rPr>
        <u/>
        <sz val="9"/>
        <color theme="1"/>
        <rFont val="ＭＳ Ｐゴシック"/>
        <family val="3"/>
        <charset val="128"/>
        <scheme val="minor"/>
      </rPr>
      <t>※介護給付のみ</t>
    </r>
    <rPh sb="0" eb="2">
      <t>チイキ</t>
    </rPh>
    <rPh sb="2" eb="4">
      <t>フクシ</t>
    </rPh>
    <phoneticPr fontId="1"/>
  </si>
  <si>
    <r>
      <t>定期巡回　</t>
    </r>
    <r>
      <rPr>
        <u/>
        <sz val="9"/>
        <color theme="1"/>
        <rFont val="ＭＳ Ｐゴシック"/>
        <family val="3"/>
        <charset val="128"/>
        <scheme val="minor"/>
      </rPr>
      <t>※介護給付のみ</t>
    </r>
    <rPh sb="0" eb="2">
      <t>テイキ</t>
    </rPh>
    <rPh sb="2" eb="4">
      <t>ジュンカイ</t>
    </rPh>
    <phoneticPr fontId="1"/>
  </si>
  <si>
    <r>
      <t>地域特定　</t>
    </r>
    <r>
      <rPr>
        <u/>
        <sz val="9"/>
        <color theme="1"/>
        <rFont val="ＭＳ Ｐゴシック"/>
        <family val="3"/>
        <charset val="128"/>
        <scheme val="minor"/>
      </rPr>
      <t>※介護給付のみ</t>
    </r>
    <rPh sb="0" eb="2">
      <t>チイキ</t>
    </rPh>
    <rPh sb="2" eb="4">
      <t>トクテイ</t>
    </rPh>
    <phoneticPr fontId="1"/>
  </si>
  <si>
    <r>
      <t>看護小規模　</t>
    </r>
    <r>
      <rPr>
        <u/>
        <sz val="9"/>
        <color theme="1"/>
        <rFont val="ＭＳ Ｐゴシック"/>
        <family val="3"/>
        <charset val="128"/>
        <scheme val="minor"/>
      </rPr>
      <t>※介護給付のみ</t>
    </r>
    <rPh sb="0" eb="2">
      <t>カンゴ</t>
    </rPh>
    <rPh sb="2" eb="5">
      <t>ショウキボ</t>
    </rPh>
    <phoneticPr fontId="1"/>
  </si>
  <si>
    <t>住宅改修</t>
    <rPh sb="0" eb="2">
      <t>ジュウタク</t>
    </rPh>
    <rPh sb="2" eb="4">
      <t>カイシュウ</t>
    </rPh>
    <phoneticPr fontId="1"/>
  </si>
  <si>
    <t>有</t>
    <rPh sb="0" eb="1">
      <t>ユウ</t>
    </rPh>
    <phoneticPr fontId="1"/>
  </si>
  <si>
    <t>無</t>
    <rPh sb="0" eb="1">
      <t>ム</t>
    </rPh>
    <phoneticPr fontId="1"/>
  </si>
  <si>
    <t>サービス利用　計</t>
    <rPh sb="4" eb="6">
      <t>リヨウ</t>
    </rPh>
    <rPh sb="7" eb="8">
      <t>ケイ</t>
    </rPh>
    <phoneticPr fontId="1"/>
  </si>
  <si>
    <r>
      <t>市町村特別給付</t>
    </r>
    <r>
      <rPr>
        <u/>
        <sz val="9"/>
        <color theme="1"/>
        <rFont val="ＭＳ Ｐゴシック"/>
        <family val="3"/>
        <charset val="128"/>
        <scheme val="minor"/>
      </rPr>
      <t>（最長３２文字）</t>
    </r>
    <rPh sb="0" eb="3">
      <t>シチョウソン</t>
    </rPh>
    <rPh sb="3" eb="5">
      <t>トクベツ</t>
    </rPh>
    <rPh sb="5" eb="7">
      <t>キュウフ</t>
    </rPh>
    <rPh sb="8" eb="10">
      <t>サイチョウ</t>
    </rPh>
    <rPh sb="12" eb="14">
      <t>モジ</t>
    </rPh>
    <phoneticPr fontId="1"/>
  </si>
  <si>
    <r>
      <t>他在宅サービス</t>
    </r>
    <r>
      <rPr>
        <u/>
        <sz val="9"/>
        <color theme="1"/>
        <rFont val="ＭＳ Ｐゴシック"/>
        <family val="3"/>
        <charset val="128"/>
        <scheme val="minor"/>
      </rPr>
      <t>（最長２４文字）</t>
    </r>
    <rPh sb="0" eb="1">
      <t>ホカ</t>
    </rPh>
    <rPh sb="1" eb="3">
      <t>ザイタク</t>
    </rPh>
    <phoneticPr fontId="1"/>
  </si>
  <si>
    <t>概況特記１</t>
    <rPh sb="0" eb="2">
      <t>ガイキョウ</t>
    </rPh>
    <rPh sb="2" eb="4">
      <t>トッキ</t>
    </rPh>
    <phoneticPr fontId="1"/>
  </si>
  <si>
    <t>概況特記２</t>
    <rPh sb="0" eb="2">
      <t>ガイキョウ</t>
    </rPh>
    <rPh sb="2" eb="4">
      <t>トッキ</t>
    </rPh>
    <phoneticPr fontId="1"/>
  </si>
  <si>
    <t>生年月日</t>
    <rPh sb="0" eb="2">
      <t>セイネン</t>
    </rPh>
    <rPh sb="2" eb="4">
      <t>ガッピ</t>
    </rPh>
    <phoneticPr fontId="1"/>
  </si>
  <si>
    <t>実施日</t>
    <rPh sb="0" eb="3">
      <t>ジッシビ</t>
    </rPh>
    <phoneticPr fontId="1"/>
  </si>
  <si>
    <t>施設利用</t>
    <rPh sb="0" eb="2">
      <t>シセツ</t>
    </rPh>
    <rPh sb="2" eb="4">
      <t>リヨウ</t>
    </rPh>
    <phoneticPr fontId="1"/>
  </si>
  <si>
    <t>概況特記</t>
    <rPh sb="0" eb="2">
      <t>ガイキョウ</t>
    </rPh>
    <rPh sb="2" eb="4">
      <t>トッキ</t>
    </rPh>
    <phoneticPr fontId="1"/>
  </si>
  <si>
    <t>居宅サービス</t>
    <rPh sb="0" eb="2">
      <t>キョタク</t>
    </rPh>
    <phoneticPr fontId="1"/>
  </si>
  <si>
    <t>第１群</t>
    <rPh sb="0" eb="1">
      <t>ダイ</t>
    </rPh>
    <rPh sb="2" eb="3">
      <t>グン</t>
    </rPh>
    <phoneticPr fontId="1"/>
  </si>
  <si>
    <t>第２群</t>
    <rPh sb="0" eb="1">
      <t>ダイ</t>
    </rPh>
    <rPh sb="2" eb="3">
      <t>グン</t>
    </rPh>
    <phoneticPr fontId="1"/>
  </si>
  <si>
    <t>第３群</t>
    <rPh sb="0" eb="1">
      <t>ダイ</t>
    </rPh>
    <rPh sb="2" eb="3">
      <t>グン</t>
    </rPh>
    <phoneticPr fontId="1"/>
  </si>
  <si>
    <t>第４群</t>
    <rPh sb="0" eb="1">
      <t>ダイ</t>
    </rPh>
    <rPh sb="2" eb="3">
      <t>グン</t>
    </rPh>
    <phoneticPr fontId="1"/>
  </si>
  <si>
    <t>第５群</t>
    <rPh sb="0" eb="1">
      <t>ダイ</t>
    </rPh>
    <rPh sb="2" eb="3">
      <t>グン</t>
    </rPh>
    <phoneticPr fontId="1"/>
  </si>
  <si>
    <t>第６群</t>
    <rPh sb="0" eb="1">
      <t>ダイ</t>
    </rPh>
    <rPh sb="2" eb="3">
      <t>グン</t>
    </rPh>
    <phoneticPr fontId="1"/>
  </si>
  <si>
    <t>第７群</t>
    <rPh sb="0" eb="1">
      <t>ダイ</t>
    </rPh>
    <rPh sb="2" eb="3">
      <t>グン</t>
    </rPh>
    <phoneticPr fontId="1"/>
  </si>
  <si>
    <t>７－１　障害高齢者自立度</t>
    <phoneticPr fontId="1"/>
  </si>
  <si>
    <t>警告コード</t>
    <rPh sb="0" eb="2">
      <t>ケイコク</t>
    </rPh>
    <phoneticPr fontId="1"/>
  </si>
  <si>
    <t>特記事項数</t>
    <rPh sb="0" eb="2">
      <t>トッキ</t>
    </rPh>
    <rPh sb="2" eb="4">
      <t>ジコウ</t>
    </rPh>
    <rPh sb="4" eb="5">
      <t>カズ</t>
    </rPh>
    <phoneticPr fontId="1"/>
  </si>
  <si>
    <t>特記ページ</t>
    <rPh sb="0" eb="2">
      <t>トッキ</t>
    </rPh>
    <phoneticPr fontId="1"/>
  </si>
  <si>
    <t>本調査票の使用方法について</t>
    <rPh sb="0" eb="1">
      <t>ホン</t>
    </rPh>
    <rPh sb="1" eb="4">
      <t>チョウサヒョウ</t>
    </rPh>
    <rPh sb="5" eb="7">
      <t>シヨウ</t>
    </rPh>
    <rPh sb="7" eb="9">
      <t>ホウホウ</t>
    </rPh>
    <phoneticPr fontId="1"/>
  </si>
  <si>
    <t>２．　本調査票使用の流れ</t>
    <rPh sb="3" eb="4">
      <t>ホン</t>
    </rPh>
    <rPh sb="4" eb="6">
      <t>チョウサ</t>
    </rPh>
    <rPh sb="6" eb="7">
      <t>ヒョウ</t>
    </rPh>
    <rPh sb="7" eb="9">
      <t>シヨウ</t>
    </rPh>
    <rPh sb="10" eb="11">
      <t>ナガ</t>
    </rPh>
    <phoneticPr fontId="1"/>
  </si>
  <si>
    <t>３．　黄色シートについて</t>
    <rPh sb="3" eb="5">
      <t>キイロ</t>
    </rPh>
    <phoneticPr fontId="1"/>
  </si>
  <si>
    <t>　　　　黄色のシートに調査内容を入力後，赤色シートでエラーを確認し，必要に応じて黄色シートを訂正してください。</t>
    <rPh sb="4" eb="6">
      <t>キイロ</t>
    </rPh>
    <rPh sb="11" eb="13">
      <t>チョウサ</t>
    </rPh>
    <rPh sb="13" eb="15">
      <t>ナイヨウ</t>
    </rPh>
    <rPh sb="16" eb="19">
      <t>ニュウリョクゴ</t>
    </rPh>
    <rPh sb="20" eb="22">
      <t>アカイロ</t>
    </rPh>
    <rPh sb="30" eb="32">
      <t>カクニン</t>
    </rPh>
    <rPh sb="34" eb="36">
      <t>ヒツヨウ</t>
    </rPh>
    <rPh sb="37" eb="38">
      <t>オウ</t>
    </rPh>
    <rPh sb="40" eb="42">
      <t>キイロ</t>
    </rPh>
    <rPh sb="46" eb="48">
      <t>テイセイ</t>
    </rPh>
    <phoneticPr fontId="1"/>
  </si>
  <si>
    <t>　　　　入力は</t>
    <rPh sb="4" eb="6">
      <t>ニュウリョク</t>
    </rPh>
    <phoneticPr fontId="1"/>
  </si>
  <si>
    <t>に行ってください。その他箇所に入力することはできません。</t>
  </si>
  <si>
    <t>もしくは，</t>
    <phoneticPr fontId="1"/>
  </si>
  <si>
    <t>に変わります。</t>
    <rPh sb="1" eb="2">
      <t>カ</t>
    </rPh>
    <phoneticPr fontId="1"/>
  </si>
  <si>
    <t>が残っていないか必ず確認してください。</t>
    <rPh sb="1" eb="2">
      <t>ノコ</t>
    </rPh>
    <rPh sb="8" eb="9">
      <t>カナラ</t>
    </rPh>
    <rPh sb="10" eb="12">
      <t>カクニン</t>
    </rPh>
    <phoneticPr fontId="1"/>
  </si>
  <si>
    <t>は任意項目なので，必要に応じて入力してください。</t>
    <rPh sb="1" eb="3">
      <t>ニンイ</t>
    </rPh>
    <rPh sb="3" eb="5">
      <t>コウモク</t>
    </rPh>
    <rPh sb="9" eb="11">
      <t>ヒツヨウ</t>
    </rPh>
    <rPh sb="12" eb="13">
      <t>オウ</t>
    </rPh>
    <rPh sb="15" eb="17">
      <t>ニュウリョク</t>
    </rPh>
    <phoneticPr fontId="1"/>
  </si>
  <si>
    <t>入力後，各シートに</t>
    <rPh sb="0" eb="3">
      <t>ニュウリョクゴ</t>
    </rPh>
    <rPh sb="4" eb="5">
      <t>カク</t>
    </rPh>
    <phoneticPr fontId="1"/>
  </si>
  <si>
    <r>
      <t>は</t>
    </r>
    <r>
      <rPr>
        <u/>
        <sz val="11"/>
        <color theme="1"/>
        <rFont val="ＭＳ Ｐゴシック"/>
        <family val="3"/>
        <charset val="128"/>
        <scheme val="minor"/>
      </rPr>
      <t>必須項目なので必ず入力してください。</t>
    </r>
    <r>
      <rPr>
        <sz val="11"/>
        <color theme="1"/>
        <rFont val="ＭＳ Ｐゴシック"/>
        <family val="3"/>
        <charset val="128"/>
        <scheme val="minor"/>
      </rPr>
      <t>なお，入力すると</t>
    </r>
    <rPh sb="22" eb="24">
      <t>ニュウリョク</t>
    </rPh>
    <phoneticPr fontId="1"/>
  </si>
  <si>
    <t>４．　赤色シートについて</t>
    <rPh sb="3" eb="5">
      <t>アカイロ</t>
    </rPh>
    <phoneticPr fontId="1"/>
  </si>
  <si>
    <t>１．　はじめに</t>
    <phoneticPr fontId="1"/>
  </si>
  <si>
    <r>
      <t>　　　　入力に不備がある場合，その不備の内容が</t>
    </r>
    <r>
      <rPr>
        <sz val="11"/>
        <color rgb="FFFF0000"/>
        <rFont val="ＭＳ Ｐゴシック"/>
        <family val="3"/>
        <charset val="128"/>
        <scheme val="minor"/>
      </rPr>
      <t>赤色</t>
    </r>
    <r>
      <rPr>
        <sz val="11"/>
        <color theme="1"/>
        <rFont val="ＭＳ Ｐゴシック"/>
        <family val="3"/>
        <charset val="128"/>
        <scheme val="minor"/>
      </rPr>
      <t>もしくは</t>
    </r>
    <r>
      <rPr>
        <sz val="11"/>
        <color rgb="FF00B050"/>
        <rFont val="ＭＳ Ｐゴシック"/>
        <family val="3"/>
        <charset val="128"/>
        <scheme val="minor"/>
      </rPr>
      <t>緑色</t>
    </r>
    <r>
      <rPr>
        <sz val="11"/>
        <color theme="1"/>
        <rFont val="ＭＳ Ｐゴシック"/>
        <family val="3"/>
        <charset val="128"/>
        <scheme val="minor"/>
      </rPr>
      <t>の文字で表記されます。</t>
    </r>
    <rPh sb="4" eb="6">
      <t>ニュウリョク</t>
    </rPh>
    <rPh sb="7" eb="9">
      <t>フビ</t>
    </rPh>
    <rPh sb="12" eb="14">
      <t>バアイ</t>
    </rPh>
    <rPh sb="17" eb="19">
      <t>フビ</t>
    </rPh>
    <rPh sb="20" eb="22">
      <t>ナイヨウ</t>
    </rPh>
    <rPh sb="23" eb="25">
      <t>アカイロ</t>
    </rPh>
    <rPh sb="29" eb="31">
      <t>ミドリイロ</t>
    </rPh>
    <rPh sb="32" eb="34">
      <t>モジ</t>
    </rPh>
    <rPh sb="35" eb="37">
      <t>ヒョウキ</t>
    </rPh>
    <phoneticPr fontId="1"/>
  </si>
  <si>
    <t>５．　緑色シートについて</t>
    <rPh sb="3" eb="5">
      <t>ミドリイロ</t>
    </rPh>
    <phoneticPr fontId="1"/>
  </si>
  <si>
    <r>
      <t>未選択</t>
    </r>
    <r>
      <rPr>
        <sz val="11"/>
        <rFont val="ＭＳ Ｐゴシック"/>
        <family val="3"/>
        <charset val="128"/>
        <scheme val="minor"/>
      </rPr>
      <t>：基本調査項目が選択されていません。</t>
    </r>
    <rPh sb="0" eb="1">
      <t>ミ</t>
    </rPh>
    <rPh sb="1" eb="3">
      <t>センタク</t>
    </rPh>
    <rPh sb="4" eb="6">
      <t>キホン</t>
    </rPh>
    <rPh sb="6" eb="8">
      <t>チョウサ</t>
    </rPh>
    <rPh sb="8" eb="10">
      <t>コウモク</t>
    </rPh>
    <rPh sb="11" eb="13">
      <t>センタク</t>
    </rPh>
    <phoneticPr fontId="1"/>
  </si>
  <si>
    <r>
      <t>選択と特記内容を確認してください</t>
    </r>
    <r>
      <rPr>
        <sz val="11"/>
        <rFont val="ＭＳ Ｐゴシック"/>
        <family val="3"/>
        <charset val="128"/>
        <scheme val="minor"/>
      </rPr>
      <t>：日常生活自立度の選択肢の文言が特記事項の文中に存在しません。</t>
    </r>
    <rPh sb="0" eb="2">
      <t>センタク</t>
    </rPh>
    <rPh sb="3" eb="5">
      <t>トッキ</t>
    </rPh>
    <rPh sb="5" eb="7">
      <t>ナイヨウ</t>
    </rPh>
    <rPh sb="8" eb="10">
      <t>カクニン</t>
    </rPh>
    <rPh sb="17" eb="19">
      <t>ニチジョウ</t>
    </rPh>
    <rPh sb="19" eb="21">
      <t>セイカツ</t>
    </rPh>
    <rPh sb="21" eb="23">
      <t>ジリツ</t>
    </rPh>
    <rPh sb="23" eb="24">
      <t>ド</t>
    </rPh>
    <rPh sb="25" eb="28">
      <t>センタクシ</t>
    </rPh>
    <rPh sb="29" eb="31">
      <t>モンゴン</t>
    </rPh>
    <rPh sb="32" eb="34">
      <t>トッキ</t>
    </rPh>
    <rPh sb="34" eb="36">
      <t>ジコウ</t>
    </rPh>
    <rPh sb="37" eb="39">
      <t>ブンチュウ</t>
    </rPh>
    <rPh sb="40" eb="42">
      <t>ソンザイ</t>
    </rPh>
    <phoneticPr fontId="1"/>
  </si>
  <si>
    <t>各エラーの意味(一部)</t>
    <rPh sb="0" eb="1">
      <t>カク</t>
    </rPh>
    <rPh sb="5" eb="7">
      <t>イミ</t>
    </rPh>
    <rPh sb="8" eb="10">
      <t>イチブ</t>
    </rPh>
    <phoneticPr fontId="1"/>
  </si>
  <si>
    <t>基本情報</t>
    <rPh sb="0" eb="2">
      <t>キホン</t>
    </rPh>
    <rPh sb="2" eb="4">
      <t>ジョウホウ</t>
    </rPh>
    <phoneticPr fontId="1"/>
  </si>
  <si>
    <t>赤字</t>
    <rPh sb="0" eb="2">
      <t>アカジ</t>
    </rPh>
    <phoneticPr fontId="1"/>
  </si>
  <si>
    <t>緑字</t>
    <rPh sb="0" eb="1">
      <t>ミドリ</t>
    </rPh>
    <rPh sb="1" eb="2">
      <t>ジ</t>
    </rPh>
    <phoneticPr fontId="1"/>
  </si>
  <si>
    <t>赤エラー</t>
    <rPh sb="0" eb="1">
      <t>アカ</t>
    </rPh>
    <phoneticPr fontId="1"/>
  </si>
  <si>
    <t>緑エラー</t>
    <rPh sb="0" eb="1">
      <t>ミドリ</t>
    </rPh>
    <phoneticPr fontId="1"/>
  </si>
  <si>
    <t>STEP1　エラーチェックの結果</t>
    <rPh sb="14" eb="16">
      <t>ケッカ</t>
    </rPh>
    <phoneticPr fontId="1"/>
  </si>
  <si>
    <t>STEP2　特記事項の校正</t>
    <rPh sb="6" eb="8">
      <t>トッキ</t>
    </rPh>
    <rPh sb="8" eb="10">
      <t>ジコウ</t>
    </rPh>
    <rPh sb="11" eb="13">
      <t>コウセイ</t>
    </rPh>
    <phoneticPr fontId="1"/>
  </si>
  <si>
    <t>入力誤りが残っています！！赤色シートで内容を確認し，黄色シートの該当箇所を必ず訂正してください。</t>
    <rPh sb="0" eb="2">
      <t>ニュウリョク</t>
    </rPh>
    <rPh sb="2" eb="3">
      <t>アヤマ</t>
    </rPh>
    <rPh sb="5" eb="6">
      <t>ノコ</t>
    </rPh>
    <rPh sb="13" eb="15">
      <t>アカイロ</t>
    </rPh>
    <rPh sb="19" eb="21">
      <t>ナイヨウ</t>
    </rPh>
    <rPh sb="22" eb="24">
      <t>カクニン</t>
    </rPh>
    <rPh sb="26" eb="28">
      <t>キイロ</t>
    </rPh>
    <rPh sb="32" eb="34">
      <t>ガイトウ</t>
    </rPh>
    <rPh sb="34" eb="36">
      <t>カショ</t>
    </rPh>
    <rPh sb="37" eb="38">
      <t>カナラ</t>
    </rPh>
    <rPh sb="39" eb="41">
      <t>テイセイ</t>
    </rPh>
    <phoneticPr fontId="1"/>
  </si>
  <si>
    <t>エラーはありません。ＳＴＥＰ２に進んでください。</t>
    <rPh sb="16" eb="17">
      <t>スス</t>
    </rPh>
    <phoneticPr fontId="1"/>
  </si>
  <si>
    <t>入力の不備が疑われる箇所が残っています。赤色シート，黄色シートで内容を確認してください。問題がなければＳＴＥＰ２に進んでください。</t>
    <rPh sb="0" eb="2">
      <t>ニュウリョク</t>
    </rPh>
    <rPh sb="3" eb="5">
      <t>フビ</t>
    </rPh>
    <rPh sb="6" eb="7">
      <t>ウタガ</t>
    </rPh>
    <rPh sb="10" eb="12">
      <t>カショ</t>
    </rPh>
    <rPh sb="13" eb="14">
      <t>ノコ</t>
    </rPh>
    <rPh sb="26" eb="28">
      <t>キイロ</t>
    </rPh>
    <rPh sb="44" eb="46">
      <t>モンダイ</t>
    </rPh>
    <rPh sb="57" eb="58">
      <t>スス</t>
    </rPh>
    <phoneticPr fontId="1"/>
  </si>
  <si>
    <t>STEP3　印刷</t>
    <rPh sb="6" eb="8">
      <t>インサツ</t>
    </rPh>
    <phoneticPr fontId="1"/>
  </si>
  <si>
    <t>名前</t>
    <rPh sb="0" eb="2">
      <t>ナマエ</t>
    </rPh>
    <phoneticPr fontId="1"/>
  </si>
  <si>
    <t>日程調整者名前</t>
    <rPh sb="0" eb="2">
      <t>ニッテイ</t>
    </rPh>
    <rPh sb="2" eb="4">
      <t>チョウセイ</t>
    </rPh>
    <rPh sb="4" eb="5">
      <t>シャ</t>
    </rPh>
    <rPh sb="5" eb="7">
      <t>ナマエ</t>
    </rPh>
    <phoneticPr fontId="1"/>
  </si>
  <si>
    <t>日程調整者の関係</t>
    <rPh sb="0" eb="2">
      <t>ニッテイ</t>
    </rPh>
    <rPh sb="2" eb="4">
      <t>チョウセイ</t>
    </rPh>
    <rPh sb="4" eb="5">
      <t>シャ</t>
    </rPh>
    <rPh sb="6" eb="8">
      <t>カンケイ</t>
    </rPh>
    <phoneticPr fontId="1"/>
  </si>
  <si>
    <t>日程調整者の℡</t>
    <rPh sb="0" eb="2">
      <t>ニッテイ</t>
    </rPh>
    <rPh sb="2" eb="4">
      <t>チョウセイ</t>
    </rPh>
    <rPh sb="4" eb="5">
      <t>シャ</t>
    </rPh>
    <phoneticPr fontId="1"/>
  </si>
  <si>
    <t>調査員名前</t>
    <rPh sb="0" eb="3">
      <t>チョウサイン</t>
    </rPh>
    <rPh sb="3" eb="5">
      <t>ナマエ</t>
    </rPh>
    <phoneticPr fontId="1"/>
  </si>
  <si>
    <t>その他特記２</t>
    <rPh sb="2" eb="3">
      <t>ホカ</t>
    </rPh>
    <rPh sb="3" eb="5">
      <t>トッキ</t>
    </rPh>
    <phoneticPr fontId="1"/>
  </si>
  <si>
    <t>その他特記１</t>
    <rPh sb="2" eb="3">
      <t>ホカ</t>
    </rPh>
    <rPh sb="3" eb="5">
      <t>トッキ</t>
    </rPh>
    <phoneticPr fontId="1"/>
  </si>
  <si>
    <t>その他特記</t>
    <rPh sb="2" eb="3">
      <t>タ</t>
    </rPh>
    <rPh sb="3" eb="5">
      <t>トッキ</t>
    </rPh>
    <phoneticPr fontId="1"/>
  </si>
  <si>
    <t>１－６　両足での立位保持</t>
    <rPh sb="4" eb="6">
      <t>リョウアシ</t>
    </rPh>
    <rPh sb="8" eb="10">
      <t>リツイ</t>
    </rPh>
    <rPh sb="10" eb="12">
      <t>ホジ</t>
    </rPh>
    <phoneticPr fontId="7"/>
  </si>
  <si>
    <t>３－３　生年月日や年齢を言う</t>
    <rPh sb="4" eb="6">
      <t>セイネン</t>
    </rPh>
    <rPh sb="6" eb="8">
      <t>ガッピ</t>
    </rPh>
    <rPh sb="9" eb="11">
      <t>ネンレイ</t>
    </rPh>
    <rPh sb="12" eb="13">
      <t>イ</t>
    </rPh>
    <phoneticPr fontId="7"/>
  </si>
  <si>
    <t>３－６　今の季節を理解する</t>
    <rPh sb="4" eb="5">
      <t>イマ</t>
    </rPh>
    <rPh sb="6" eb="8">
      <t>キセツ</t>
    </rPh>
    <rPh sb="9" eb="11">
      <t>リカイ</t>
    </rPh>
    <phoneticPr fontId="7"/>
  </si>
  <si>
    <t>３－９　外出すると戻れない</t>
    <rPh sb="4" eb="6">
      <t>ガイシュツ</t>
    </rPh>
    <rPh sb="9" eb="10">
      <t>モド</t>
    </rPh>
    <phoneticPr fontId="7"/>
  </si>
  <si>
    <t>選択の有無</t>
    <rPh sb="0" eb="2">
      <t>センタク</t>
    </rPh>
    <rPh sb="3" eb="5">
      <t>ウム</t>
    </rPh>
    <phoneticPr fontId="1"/>
  </si>
  <si>
    <t>特記の有無</t>
    <rPh sb="0" eb="2">
      <t>トッキ</t>
    </rPh>
    <rPh sb="3" eb="5">
      <t>ウム</t>
    </rPh>
    <phoneticPr fontId="1"/>
  </si>
  <si>
    <t>特記字数</t>
    <rPh sb="0" eb="2">
      <t>トッキ</t>
    </rPh>
    <rPh sb="2" eb="4">
      <t>ジスウ</t>
    </rPh>
    <phoneticPr fontId="1"/>
  </si>
  <si>
    <t>自立以外</t>
    <rPh sb="0" eb="2">
      <t>ジリツ</t>
    </rPh>
    <rPh sb="2" eb="4">
      <t>イガイ</t>
    </rPh>
    <phoneticPr fontId="1"/>
  </si>
  <si>
    <t>選択と特記内容</t>
    <rPh sb="0" eb="2">
      <t>センタク</t>
    </rPh>
    <rPh sb="3" eb="5">
      <t>トッキ</t>
    </rPh>
    <rPh sb="5" eb="7">
      <t>ナイヨウ</t>
    </rPh>
    <phoneticPr fontId="1"/>
  </si>
  <si>
    <t>　　　　赤色シートのエラーが解消された後，緑色シートの指示に従って青色シートを印刷してください。</t>
    <rPh sb="4" eb="6">
      <t>アカイロ</t>
    </rPh>
    <rPh sb="14" eb="16">
      <t>カイショウ</t>
    </rPh>
    <rPh sb="19" eb="20">
      <t>ノチ</t>
    </rPh>
    <rPh sb="21" eb="22">
      <t>ミドリ</t>
    </rPh>
    <rPh sb="22" eb="23">
      <t>イロ</t>
    </rPh>
    <rPh sb="27" eb="29">
      <t>シジ</t>
    </rPh>
    <rPh sb="30" eb="31">
      <t>シタガ</t>
    </rPh>
    <rPh sb="33" eb="35">
      <t>アオイロ</t>
    </rPh>
    <rPh sb="39" eb="41">
      <t>インサツ</t>
    </rPh>
    <phoneticPr fontId="1"/>
  </si>
  <si>
    <t>　　　　※入力欄によっては，入力内容を制限したり，入力確認を促すコメントが出ることがあります。その際は，再度入力内容を確認してください。</t>
    <rPh sb="5" eb="7">
      <t>ニュウリョク</t>
    </rPh>
    <rPh sb="7" eb="8">
      <t>ラン</t>
    </rPh>
    <rPh sb="14" eb="16">
      <t>ニュウリョク</t>
    </rPh>
    <rPh sb="16" eb="18">
      <t>ナイヨウ</t>
    </rPh>
    <rPh sb="19" eb="21">
      <t>セイゲン</t>
    </rPh>
    <rPh sb="25" eb="27">
      <t>ニュウリョク</t>
    </rPh>
    <rPh sb="27" eb="29">
      <t>カクニン</t>
    </rPh>
    <rPh sb="30" eb="31">
      <t>ウナガ</t>
    </rPh>
    <rPh sb="37" eb="38">
      <t>デ</t>
    </rPh>
    <rPh sb="49" eb="50">
      <t>サイ</t>
    </rPh>
    <rPh sb="52" eb="54">
      <t>サイド</t>
    </rPh>
    <rPh sb="54" eb="56">
      <t>ニュウリョク</t>
    </rPh>
    <rPh sb="56" eb="58">
      <t>ナイヨウ</t>
    </rPh>
    <rPh sb="59" eb="61">
      <t>カクニン</t>
    </rPh>
    <phoneticPr fontId="1"/>
  </si>
  <si>
    <t>　　　　※黄色シートは半角全角の切り替えなく入力できるよう設定しています。</t>
    <rPh sb="5" eb="7">
      <t>キイロ</t>
    </rPh>
    <rPh sb="11" eb="13">
      <t>ハンカク</t>
    </rPh>
    <rPh sb="13" eb="15">
      <t>ゼンカク</t>
    </rPh>
    <rPh sb="16" eb="17">
      <t>キ</t>
    </rPh>
    <rPh sb="18" eb="19">
      <t>カ</t>
    </rPh>
    <rPh sb="22" eb="24">
      <t>ニュウリョク</t>
    </rPh>
    <rPh sb="29" eb="31">
      <t>セッテイ</t>
    </rPh>
    <phoneticPr fontId="1"/>
  </si>
  <si>
    <r>
      <t>　　　　</t>
    </r>
    <r>
      <rPr>
        <sz val="11"/>
        <color rgb="FF00B050"/>
        <rFont val="ＭＳ Ｐゴシック"/>
        <family val="3"/>
        <charset val="128"/>
        <scheme val="minor"/>
      </rPr>
      <t>緑色の文字</t>
    </r>
    <r>
      <rPr>
        <sz val="11"/>
        <color theme="1"/>
        <rFont val="ＭＳ Ｐゴシック"/>
        <family val="3"/>
        <charset val="128"/>
        <scheme val="minor"/>
      </rPr>
      <t>は入力の不備が疑われる内容ですので，必ず該当箇所を黄色シートで確認し，必要に応じて訂正してください。</t>
    </r>
    <rPh sb="4" eb="6">
      <t>ミドリイロ</t>
    </rPh>
    <rPh sb="7" eb="9">
      <t>モジ</t>
    </rPh>
    <rPh sb="10" eb="12">
      <t>ニュウリョク</t>
    </rPh>
    <rPh sb="13" eb="15">
      <t>フビ</t>
    </rPh>
    <rPh sb="16" eb="17">
      <t>ウタガ</t>
    </rPh>
    <rPh sb="20" eb="22">
      <t>ナイヨウ</t>
    </rPh>
    <rPh sb="40" eb="42">
      <t>カクニン</t>
    </rPh>
    <rPh sb="44" eb="46">
      <t>ヒツヨウ</t>
    </rPh>
    <rPh sb="47" eb="48">
      <t>オウ</t>
    </rPh>
    <rPh sb="50" eb="52">
      <t>テイセイ</t>
    </rPh>
    <phoneticPr fontId="1"/>
  </si>
  <si>
    <r>
      <t>　　　　</t>
    </r>
    <r>
      <rPr>
        <b/>
        <u/>
        <sz val="11"/>
        <rFont val="ＭＳ Ｐゴシック"/>
        <family val="3"/>
        <charset val="128"/>
        <scheme val="minor"/>
      </rPr>
      <t>特記事項，概況特記，その他特記をあわせて原則３６個までの入力にしてください。</t>
    </r>
    <r>
      <rPr>
        <sz val="11"/>
        <rFont val="ＭＳ Ｐゴシック"/>
        <family val="3"/>
        <charset val="128"/>
        <scheme val="minor"/>
      </rPr>
      <t>３６個までの入力に収まらない場合に限り，</t>
    </r>
    <r>
      <rPr>
        <u/>
        <sz val="11"/>
        <rFont val="ＭＳ Ｐゴシック"/>
        <family val="3"/>
        <charset val="128"/>
        <scheme val="minor"/>
      </rPr>
      <t>最大４８個まで入力可能です。</t>
    </r>
    <rPh sb="4" eb="6">
      <t>トッキ</t>
    </rPh>
    <rPh sb="6" eb="8">
      <t>ジコウ</t>
    </rPh>
    <rPh sb="9" eb="11">
      <t>ガイキョウ</t>
    </rPh>
    <rPh sb="11" eb="13">
      <t>トッキ</t>
    </rPh>
    <rPh sb="16" eb="17">
      <t>タ</t>
    </rPh>
    <rPh sb="17" eb="19">
      <t>トッキ</t>
    </rPh>
    <rPh sb="24" eb="26">
      <t>ゲンソク</t>
    </rPh>
    <rPh sb="28" eb="29">
      <t>コ</t>
    </rPh>
    <rPh sb="32" eb="34">
      <t>ニュウリョク</t>
    </rPh>
    <rPh sb="44" eb="45">
      <t>コ</t>
    </rPh>
    <rPh sb="48" eb="50">
      <t>ニュウリョク</t>
    </rPh>
    <rPh sb="51" eb="52">
      <t>オサ</t>
    </rPh>
    <rPh sb="56" eb="58">
      <t>バアイ</t>
    </rPh>
    <rPh sb="59" eb="60">
      <t>カギ</t>
    </rPh>
    <rPh sb="62" eb="64">
      <t>サイダイ</t>
    </rPh>
    <rPh sb="66" eb="67">
      <t>コ</t>
    </rPh>
    <rPh sb="69" eb="71">
      <t>ニュウリョク</t>
    </rPh>
    <rPh sb="71" eb="73">
      <t>カノウ</t>
    </rPh>
    <phoneticPr fontId="1"/>
  </si>
  <si>
    <r>
      <t>　　　　黄色シートは入力シートです。</t>
    </r>
    <r>
      <rPr>
        <b/>
        <u/>
        <sz val="11"/>
        <color theme="1"/>
        <rFont val="ＭＳ Ｐゴシック"/>
        <family val="3"/>
        <charset val="128"/>
        <scheme val="minor"/>
      </rPr>
      <t>黄色シート以外には入力する欄はありません。</t>
    </r>
    <rPh sb="4" eb="6">
      <t>キイロ</t>
    </rPh>
    <rPh sb="10" eb="12">
      <t>ニュウリョク</t>
    </rPh>
    <rPh sb="18" eb="20">
      <t>キイロ</t>
    </rPh>
    <rPh sb="23" eb="25">
      <t>イガイ</t>
    </rPh>
    <rPh sb="27" eb="29">
      <t>ニュウリョク</t>
    </rPh>
    <rPh sb="31" eb="32">
      <t>ラン</t>
    </rPh>
    <phoneticPr fontId="1"/>
  </si>
  <si>
    <r>
      <t>　　　　</t>
    </r>
    <r>
      <rPr>
        <u/>
        <sz val="11"/>
        <color rgb="FFFF0000"/>
        <rFont val="ＭＳ Ｐゴシック"/>
        <family val="3"/>
        <charset val="128"/>
        <scheme val="minor"/>
      </rPr>
      <t>赤色の文字</t>
    </r>
    <r>
      <rPr>
        <u/>
        <sz val="11"/>
        <color theme="1"/>
        <rFont val="ＭＳ Ｐゴシック"/>
        <family val="3"/>
        <charset val="128"/>
        <scheme val="minor"/>
      </rPr>
      <t>は明確な不備ですので，必ず黄色シートの該当箇所を訂正してください。</t>
    </r>
    <r>
      <rPr>
        <b/>
        <u/>
        <sz val="11"/>
        <color theme="1"/>
        <rFont val="ＭＳ Ｐゴシック"/>
        <family val="3"/>
        <charset val="128"/>
        <scheme val="minor"/>
      </rPr>
      <t>すべての赤色の文字が消えるまで，印刷はしないでください。</t>
    </r>
    <rPh sb="4" eb="6">
      <t>アカイロ</t>
    </rPh>
    <rPh sb="7" eb="9">
      <t>モジ</t>
    </rPh>
    <rPh sb="10" eb="12">
      <t>メイカク</t>
    </rPh>
    <rPh sb="13" eb="15">
      <t>フビ</t>
    </rPh>
    <rPh sb="20" eb="21">
      <t>カナラ</t>
    </rPh>
    <rPh sb="22" eb="24">
      <t>キイロ</t>
    </rPh>
    <rPh sb="28" eb="30">
      <t>ガイトウ</t>
    </rPh>
    <rPh sb="30" eb="32">
      <t>カショ</t>
    </rPh>
    <rPh sb="33" eb="35">
      <t>テイセイ</t>
    </rPh>
    <rPh sb="46" eb="48">
      <t>アカイロ</t>
    </rPh>
    <rPh sb="49" eb="51">
      <t>モジ</t>
    </rPh>
    <rPh sb="52" eb="53">
      <t>キ</t>
    </rPh>
    <rPh sb="58" eb="60">
      <t>インサツ</t>
    </rPh>
    <phoneticPr fontId="1"/>
  </si>
  <si>
    <r>
      <t>特記なし</t>
    </r>
    <r>
      <rPr>
        <sz val="11"/>
        <rFont val="ＭＳ Ｐゴシック"/>
        <family val="3"/>
        <charset val="128"/>
        <scheme val="minor"/>
      </rPr>
      <t>：基本調査項目が１以外（自立等以外）にもかかわらず，特記事項が未記入です。他の特記事項にまとめて記入している場合はエラー表示を無視してかまいません。</t>
    </r>
    <rPh sb="0" eb="2">
      <t>トッキ</t>
    </rPh>
    <rPh sb="5" eb="7">
      <t>キホン</t>
    </rPh>
    <rPh sb="7" eb="9">
      <t>チョウサ</t>
    </rPh>
    <rPh sb="9" eb="11">
      <t>コウモク</t>
    </rPh>
    <rPh sb="13" eb="15">
      <t>イガイ</t>
    </rPh>
    <rPh sb="16" eb="18">
      <t>ジリツ</t>
    </rPh>
    <rPh sb="18" eb="19">
      <t>トウ</t>
    </rPh>
    <rPh sb="19" eb="21">
      <t>イガイ</t>
    </rPh>
    <rPh sb="30" eb="32">
      <t>トッキ</t>
    </rPh>
    <rPh sb="32" eb="34">
      <t>ジコウ</t>
    </rPh>
    <rPh sb="35" eb="38">
      <t>ミキニュウ</t>
    </rPh>
    <rPh sb="41" eb="42">
      <t>タ</t>
    </rPh>
    <rPh sb="43" eb="45">
      <t>トッキ</t>
    </rPh>
    <rPh sb="45" eb="47">
      <t>ジコウ</t>
    </rPh>
    <rPh sb="52" eb="54">
      <t>キニュウ</t>
    </rPh>
    <rPh sb="58" eb="60">
      <t>バアイ</t>
    </rPh>
    <rPh sb="64" eb="66">
      <t>ヒョウジ</t>
    </rPh>
    <rPh sb="67" eb="69">
      <t>ムシ</t>
    </rPh>
    <phoneticPr fontId="1"/>
  </si>
  <si>
    <r>
      <t>警告あり</t>
    </r>
    <r>
      <rPr>
        <sz val="11"/>
        <rFont val="ＭＳ Ｐゴシック"/>
        <family val="3"/>
        <charset val="128"/>
        <scheme val="minor"/>
      </rPr>
      <t>：基本調査項目の選択が警告コードに該当します。</t>
    </r>
    <r>
      <rPr>
        <b/>
        <u/>
        <sz val="11"/>
        <rFont val="ＭＳ Ｐゴシック"/>
        <family val="3"/>
        <charset val="128"/>
        <scheme val="minor"/>
      </rPr>
      <t>選択誤りでない場合は，選択に矛盾がないことがわかるように特記事項を記入してください。</t>
    </r>
    <rPh sb="0" eb="2">
      <t>ケイコク</t>
    </rPh>
    <rPh sb="5" eb="7">
      <t>キホン</t>
    </rPh>
    <rPh sb="7" eb="9">
      <t>チョウサ</t>
    </rPh>
    <rPh sb="9" eb="11">
      <t>コウモク</t>
    </rPh>
    <rPh sb="12" eb="14">
      <t>センタク</t>
    </rPh>
    <rPh sb="15" eb="17">
      <t>ケイコク</t>
    </rPh>
    <rPh sb="21" eb="23">
      <t>ガイトウ</t>
    </rPh>
    <rPh sb="27" eb="29">
      <t>センタク</t>
    </rPh>
    <rPh sb="29" eb="30">
      <t>アヤマ</t>
    </rPh>
    <rPh sb="34" eb="36">
      <t>バアイ</t>
    </rPh>
    <rPh sb="38" eb="40">
      <t>センタク</t>
    </rPh>
    <rPh sb="41" eb="43">
      <t>ムジュン</t>
    </rPh>
    <rPh sb="55" eb="57">
      <t>トッキ</t>
    </rPh>
    <rPh sb="57" eb="59">
      <t>ジコウ</t>
    </rPh>
    <rPh sb="60" eb="62">
      <t>キニュウ</t>
    </rPh>
    <phoneticPr fontId="1"/>
  </si>
  <si>
    <t>６．　青色シートについて</t>
    <rPh sb="3" eb="5">
      <t>アオイロ</t>
    </rPh>
    <phoneticPr fontId="1"/>
  </si>
  <si>
    <r>
      <t>　　　　　「訪問調査票」と「特記事項」からなります。</t>
    </r>
    <r>
      <rPr>
        <b/>
        <u/>
        <sz val="11"/>
        <color theme="1"/>
        <rFont val="ＭＳ Ｐゴシック"/>
        <family val="3"/>
        <charset val="128"/>
        <scheme val="minor"/>
      </rPr>
      <t>印刷は必ず片面印刷で行ってください。</t>
    </r>
    <rPh sb="6" eb="8">
      <t>ホウモン</t>
    </rPh>
    <rPh sb="8" eb="11">
      <t>チョウサヒョウ</t>
    </rPh>
    <rPh sb="14" eb="16">
      <t>トッキ</t>
    </rPh>
    <rPh sb="16" eb="18">
      <t>ジコウ</t>
    </rPh>
    <rPh sb="26" eb="28">
      <t>インサツ</t>
    </rPh>
    <rPh sb="29" eb="30">
      <t>カナラ</t>
    </rPh>
    <rPh sb="31" eb="33">
      <t>カタメン</t>
    </rPh>
    <rPh sb="33" eb="35">
      <t>インサツ</t>
    </rPh>
    <rPh sb="36" eb="37">
      <t>オコナ</t>
    </rPh>
    <phoneticPr fontId="1"/>
  </si>
  <si>
    <t>　　　　　「訪問調査票」はＡ４片面印刷で３枚です。「特記事項」は記入した個数により変わりますが，Ａ４片面印刷で最大４枚です。</t>
    <rPh sb="6" eb="8">
      <t>ホウモン</t>
    </rPh>
    <rPh sb="8" eb="11">
      <t>チョウサヒョウ</t>
    </rPh>
    <rPh sb="15" eb="17">
      <t>カタメン</t>
    </rPh>
    <rPh sb="17" eb="19">
      <t>インサツ</t>
    </rPh>
    <rPh sb="21" eb="22">
      <t>マイ</t>
    </rPh>
    <rPh sb="32" eb="34">
      <t>キニュウ</t>
    </rPh>
    <rPh sb="36" eb="38">
      <t>コスウ</t>
    </rPh>
    <rPh sb="41" eb="42">
      <t>カ</t>
    </rPh>
    <rPh sb="55" eb="57">
      <t>サイダイ</t>
    </rPh>
    <rPh sb="58" eb="59">
      <t>マイ</t>
    </rPh>
    <phoneticPr fontId="1"/>
  </si>
  <si>
    <t>自由入力欄</t>
    <rPh sb="0" eb="2">
      <t>ジユウ</t>
    </rPh>
    <rPh sb="2" eb="4">
      <t>ニュウリョク</t>
    </rPh>
    <rPh sb="4" eb="5">
      <t>ラン</t>
    </rPh>
    <phoneticPr fontId="1"/>
  </si>
  <si>
    <r>
      <t>住宅改修　</t>
    </r>
    <r>
      <rPr>
        <u/>
        <sz val="9"/>
        <rFont val="ＭＳ Ｐゴシック"/>
        <family val="3"/>
        <charset val="128"/>
        <scheme val="minor"/>
      </rPr>
      <t>（空白：無　1：有）</t>
    </r>
    <rPh sb="0" eb="2">
      <t>ジュウタク</t>
    </rPh>
    <rPh sb="2" eb="4">
      <t>カイシュウ</t>
    </rPh>
    <rPh sb="6" eb="8">
      <t>クウハク</t>
    </rPh>
    <rPh sb="9" eb="10">
      <t>ナ</t>
    </rPh>
    <rPh sb="13" eb="14">
      <t>ア</t>
    </rPh>
    <phoneticPr fontId="1"/>
  </si>
  <si>
    <t>mod 11</t>
    <phoneticPr fontId="1"/>
  </si>
  <si>
    <t>C/D</t>
    <phoneticPr fontId="1"/>
  </si>
  <si>
    <t>その他特記３</t>
    <rPh sb="2" eb="3">
      <t>ホカ</t>
    </rPh>
    <rPh sb="3" eb="5">
      <t>トッキ</t>
    </rPh>
    <phoneticPr fontId="1"/>
  </si>
  <si>
    <t>※非該当でサービス暫定利用の場合，非該当で過去に住宅改修を行った場合は「２：支援」を，</t>
    <rPh sb="1" eb="2">
      <t>ヒ</t>
    </rPh>
    <rPh sb="2" eb="4">
      <t>ガイトウ</t>
    </rPh>
    <rPh sb="9" eb="11">
      <t>ザンテイ</t>
    </rPh>
    <rPh sb="11" eb="13">
      <t>リヨウ</t>
    </rPh>
    <rPh sb="14" eb="16">
      <t>バアイ</t>
    </rPh>
    <rPh sb="17" eb="18">
      <t>ヒ</t>
    </rPh>
    <rPh sb="18" eb="20">
      <t>ガイトウ</t>
    </rPh>
    <rPh sb="21" eb="23">
      <t>カコ</t>
    </rPh>
    <rPh sb="24" eb="26">
      <t>ジュウタク</t>
    </rPh>
    <rPh sb="26" eb="28">
      <t>カイシュウ</t>
    </rPh>
    <rPh sb="29" eb="30">
      <t>オコナ</t>
    </rPh>
    <rPh sb="32" eb="34">
      <t>バアイ</t>
    </rPh>
    <rPh sb="38" eb="40">
      <t>シエン</t>
    </rPh>
    <phoneticPr fontId="1"/>
  </si>
  <si>
    <t>要支援で介護給付のみのサービスを暫定利用の場合は「１：介護」を入力してください。</t>
    <rPh sb="0" eb="1">
      <t>ヨウ</t>
    </rPh>
    <rPh sb="1" eb="3">
      <t>シエン</t>
    </rPh>
    <rPh sb="4" eb="6">
      <t>カイゴ</t>
    </rPh>
    <rPh sb="6" eb="8">
      <t>キュウフ</t>
    </rPh>
    <rPh sb="16" eb="18">
      <t>ザンテイ</t>
    </rPh>
    <rPh sb="18" eb="20">
      <t>リヨウ</t>
    </rPh>
    <rPh sb="21" eb="23">
      <t>バアイ</t>
    </rPh>
    <rPh sb="27" eb="29">
      <t>カイゴ</t>
    </rPh>
    <phoneticPr fontId="1"/>
  </si>
  <si>
    <r>
      <t>名前</t>
    </r>
    <r>
      <rPr>
        <u/>
        <sz val="9"/>
        <color theme="1"/>
        <rFont val="ＭＳ Ｐゴシック"/>
        <family val="3"/>
        <charset val="128"/>
        <scheme val="minor"/>
      </rPr>
      <t>（姓と名の間にスペース）</t>
    </r>
    <rPh sb="0" eb="2">
      <t>ナマエ</t>
    </rPh>
    <rPh sb="3" eb="4">
      <t>セイ</t>
    </rPh>
    <rPh sb="5" eb="6">
      <t>メイ</t>
    </rPh>
    <rPh sb="7" eb="8">
      <t>アイダ</t>
    </rPh>
    <phoneticPr fontId="1"/>
  </si>
  <si>
    <t>その他特記</t>
    <phoneticPr fontId="1"/>
  </si>
  <si>
    <r>
      <rPr>
        <u/>
        <sz val="9"/>
        <color theme="1"/>
        <rFont val="ＭＳ Ｐゴシック"/>
        <family val="3"/>
        <charset val="128"/>
        <scheme val="minor"/>
      </rPr>
      <t>※自由入力欄の内容は，</t>
    </r>
    <r>
      <rPr>
        <sz val="9"/>
        <color theme="1"/>
        <rFont val="ＭＳ Ｐゴシック"/>
        <family val="3"/>
        <charset val="128"/>
        <scheme val="minor"/>
      </rPr>
      <t xml:space="preserve">
　　　</t>
    </r>
    <r>
      <rPr>
        <u/>
        <sz val="9"/>
        <color theme="1"/>
        <rFont val="ＭＳ Ｐゴシック"/>
        <family val="3"/>
        <charset val="128"/>
        <scheme val="minor"/>
      </rPr>
      <t>審査会資料には反映されません。</t>
    </r>
    <rPh sb="1" eb="3">
      <t>ジユウ</t>
    </rPh>
    <rPh sb="3" eb="5">
      <t>ニュウリョク</t>
    </rPh>
    <rPh sb="5" eb="6">
      <t>ラン</t>
    </rPh>
    <rPh sb="7" eb="9">
      <t>ナイヨウ</t>
    </rPh>
    <rPh sb="22" eb="24">
      <t>ハンエイ</t>
    </rPh>
    <phoneticPr fontId="1"/>
  </si>
  <si>
    <t>できない</t>
    <phoneticPr fontId="1"/>
  </si>
  <si>
    <t>ある</t>
    <phoneticPr fontId="1"/>
  </si>
  <si>
    <t>同席者名前</t>
    <rPh sb="0" eb="3">
      <t>ドウセキシャ</t>
    </rPh>
    <rPh sb="3" eb="5">
      <t>ナマエ</t>
    </rPh>
    <phoneticPr fontId="1"/>
  </si>
  <si>
    <t>　　　　本調査票には入力欄を一括で削除する機能がありません。複数人分の調査票を作成する場合は，原本のエクセルをコピーしてください。</t>
    <rPh sb="4" eb="5">
      <t>ホン</t>
    </rPh>
    <rPh sb="5" eb="8">
      <t>チョウサヒョウ</t>
    </rPh>
    <rPh sb="10" eb="12">
      <t>ニュウリョク</t>
    </rPh>
    <rPh sb="12" eb="13">
      <t>ラン</t>
    </rPh>
    <rPh sb="14" eb="16">
      <t>イッカツ</t>
    </rPh>
    <rPh sb="17" eb="19">
      <t>サクジョ</t>
    </rPh>
    <rPh sb="21" eb="23">
      <t>キノウ</t>
    </rPh>
    <rPh sb="30" eb="32">
      <t>フクスウ</t>
    </rPh>
    <rPh sb="32" eb="33">
      <t>ニン</t>
    </rPh>
    <rPh sb="33" eb="34">
      <t>ブン</t>
    </rPh>
    <rPh sb="35" eb="38">
      <t>チョウサヒョウ</t>
    </rPh>
    <rPh sb="39" eb="41">
      <t>サクセイ</t>
    </rPh>
    <rPh sb="43" eb="45">
      <t>バアイ</t>
    </rPh>
    <phoneticPr fontId="1"/>
  </si>
  <si>
    <r>
      <t>　　　　特記事項は，第１群から第７群まで各１つしか入力することはできません。なお，</t>
    </r>
    <r>
      <rPr>
        <b/>
        <u/>
        <sz val="11"/>
        <rFont val="ＭＳ Ｐゴシック"/>
        <family val="3"/>
        <charset val="128"/>
        <scheme val="minor"/>
      </rPr>
      <t>入力できる文字数は最大で240文字です。</t>
    </r>
    <rPh sb="4" eb="6">
      <t>トッキ</t>
    </rPh>
    <rPh sb="6" eb="8">
      <t>ジコウ</t>
    </rPh>
    <rPh sb="10" eb="11">
      <t>ダイ</t>
    </rPh>
    <rPh sb="12" eb="13">
      <t>グン</t>
    </rPh>
    <rPh sb="15" eb="16">
      <t>ダイ</t>
    </rPh>
    <rPh sb="17" eb="18">
      <t>グン</t>
    </rPh>
    <rPh sb="20" eb="21">
      <t>カク</t>
    </rPh>
    <rPh sb="25" eb="27">
      <t>ニュウリョク</t>
    </rPh>
    <rPh sb="41" eb="43">
      <t>ニュウリョク</t>
    </rPh>
    <rPh sb="46" eb="49">
      <t>モジスウ</t>
    </rPh>
    <rPh sb="50" eb="52">
      <t>サイダイ</t>
    </rPh>
    <rPh sb="56" eb="58">
      <t>モジ</t>
    </rPh>
    <phoneticPr fontId="1"/>
  </si>
  <si>
    <t>　　　　概況特記は最大で２つ，その他特記は最大で３つまで入力できます。概況特記は必ず１つは入力してください。なお，入力できる文字数は最大で240文字です。</t>
    <rPh sb="4" eb="6">
      <t>ガイキョウ</t>
    </rPh>
    <rPh sb="6" eb="8">
      <t>トッキ</t>
    </rPh>
    <rPh sb="9" eb="11">
      <t>サイダイ</t>
    </rPh>
    <rPh sb="17" eb="18">
      <t>タ</t>
    </rPh>
    <rPh sb="18" eb="20">
      <t>トッキ</t>
    </rPh>
    <rPh sb="21" eb="23">
      <t>サイダイ</t>
    </rPh>
    <rPh sb="28" eb="30">
      <t>ニュウリョク</t>
    </rPh>
    <rPh sb="35" eb="37">
      <t>ガイキョウ</t>
    </rPh>
    <rPh sb="37" eb="39">
      <t>トッキ</t>
    </rPh>
    <rPh sb="40" eb="41">
      <t>カナラ</t>
    </rPh>
    <rPh sb="45" eb="47">
      <t>ニュウリョク</t>
    </rPh>
    <phoneticPr fontId="1"/>
  </si>
  <si>
    <r>
      <t>　　　　※</t>
    </r>
    <r>
      <rPr>
        <u/>
        <sz val="11"/>
        <color theme="1"/>
        <rFont val="ＭＳ Ｐゴシック"/>
        <family val="3"/>
        <charset val="128"/>
        <scheme val="minor"/>
      </rPr>
      <t>特記事項，概況特記，その他特記は，改行せずに入力してください。エクセル上で改行を行っても，印刷用紙には反映されません。</t>
    </r>
    <rPh sb="5" eb="7">
      <t>トッキ</t>
    </rPh>
    <rPh sb="7" eb="9">
      <t>ジコウ</t>
    </rPh>
    <rPh sb="10" eb="12">
      <t>ガイキョウ</t>
    </rPh>
    <rPh sb="12" eb="14">
      <t>トッキ</t>
    </rPh>
    <rPh sb="17" eb="18">
      <t>ホカ</t>
    </rPh>
    <rPh sb="18" eb="20">
      <t>トッキ</t>
    </rPh>
    <rPh sb="22" eb="24">
      <t>カイギョウ</t>
    </rPh>
    <rPh sb="27" eb="29">
      <t>ニュウリョク</t>
    </rPh>
    <rPh sb="40" eb="41">
      <t>ジョウ</t>
    </rPh>
    <rPh sb="42" eb="44">
      <t>カイギョウ</t>
    </rPh>
    <rPh sb="45" eb="46">
      <t>オコナ</t>
    </rPh>
    <rPh sb="50" eb="52">
      <t>インサツ</t>
    </rPh>
    <rPh sb="52" eb="54">
      <t>ヨウシ</t>
    </rPh>
    <rPh sb="56" eb="58">
      <t>ハンエイ</t>
    </rPh>
    <phoneticPr fontId="1"/>
  </si>
  <si>
    <t>　　　　　例：「２－１０上衣の着脱」と「２－１１ズボン等の着脱」をまとめて「２－１０上衣の着脱」の特記事項に書く場合，特記事項の最初に（２－１１）を入力してください。</t>
    <rPh sb="5" eb="6">
      <t>レイ</t>
    </rPh>
    <rPh sb="12" eb="13">
      <t>ジョウ</t>
    </rPh>
    <rPh sb="13" eb="14">
      <t>ギヌ</t>
    </rPh>
    <rPh sb="15" eb="17">
      <t>チャクダツ</t>
    </rPh>
    <rPh sb="27" eb="28">
      <t>トウ</t>
    </rPh>
    <rPh sb="29" eb="31">
      <t>チャクダツ</t>
    </rPh>
    <rPh sb="49" eb="51">
      <t>トッキ</t>
    </rPh>
    <rPh sb="51" eb="53">
      <t>ジコウ</t>
    </rPh>
    <rPh sb="54" eb="55">
      <t>カ</t>
    </rPh>
    <rPh sb="56" eb="58">
      <t>バアイ</t>
    </rPh>
    <rPh sb="59" eb="61">
      <t>トッキ</t>
    </rPh>
    <rPh sb="61" eb="63">
      <t>ジコウ</t>
    </rPh>
    <rPh sb="64" eb="66">
      <t>サイショ</t>
    </rPh>
    <rPh sb="74" eb="76">
      <t>ニュウリョク</t>
    </rPh>
    <phoneticPr fontId="1"/>
  </si>
  <si>
    <t>訪問調査先</t>
    <phoneticPr fontId="1"/>
  </si>
  <si>
    <t>　　　　※複数の調査項目の特記事項をまとめて書く場合(第６群を除く)，まとめる特記事項の最初に，まとめられる群数と項目数を「 （群数－項目数） 」の形で入力してください。</t>
    <rPh sb="5" eb="7">
      <t>フクスウ</t>
    </rPh>
    <rPh sb="8" eb="10">
      <t>チョウサ</t>
    </rPh>
    <rPh sb="10" eb="12">
      <t>コウモク</t>
    </rPh>
    <rPh sb="13" eb="15">
      <t>トッキ</t>
    </rPh>
    <rPh sb="15" eb="17">
      <t>ジコウ</t>
    </rPh>
    <rPh sb="22" eb="23">
      <t>カ</t>
    </rPh>
    <rPh sb="24" eb="26">
      <t>バアイ</t>
    </rPh>
    <rPh sb="27" eb="28">
      <t>ダイ</t>
    </rPh>
    <rPh sb="29" eb="30">
      <t>グン</t>
    </rPh>
    <rPh sb="31" eb="32">
      <t>ノゾ</t>
    </rPh>
    <rPh sb="54" eb="55">
      <t>グン</t>
    </rPh>
    <rPh sb="55" eb="56">
      <t>スウ</t>
    </rPh>
    <rPh sb="57" eb="60">
      <t>コウモクスウ</t>
    </rPh>
    <rPh sb="64" eb="65">
      <t>グン</t>
    </rPh>
    <rPh sb="65" eb="66">
      <t>スウ</t>
    </rPh>
    <rPh sb="67" eb="70">
      <t>コウモクスウ</t>
    </rPh>
    <rPh sb="74" eb="75">
      <t>カタチ</t>
    </rPh>
    <rPh sb="76" eb="78">
      <t>ニュウリョク</t>
    </rPh>
    <phoneticPr fontId="1"/>
  </si>
  <si>
    <t>７．　文章校正の方法について</t>
    <rPh sb="3" eb="5">
      <t>ブンショウ</t>
    </rPh>
    <rPh sb="5" eb="7">
      <t>コウセイ</t>
    </rPh>
    <rPh sb="8" eb="10">
      <t>ホウホウ</t>
    </rPh>
    <phoneticPr fontId="1"/>
  </si>
  <si>
    <t>　　　　　３つのＳＴＥＰがあります。各ＳＴＥＰの指示に従ってください。なお，文章校正の具体的な方法は，下記７を参照してください。</t>
    <rPh sb="18" eb="19">
      <t>カク</t>
    </rPh>
    <rPh sb="24" eb="26">
      <t>シジ</t>
    </rPh>
    <rPh sb="27" eb="28">
      <t>シタガ</t>
    </rPh>
    <rPh sb="38" eb="40">
      <t>ブンショウ</t>
    </rPh>
    <rPh sb="40" eb="42">
      <t>コウセイ</t>
    </rPh>
    <rPh sb="43" eb="46">
      <t>グタイテキ</t>
    </rPh>
    <rPh sb="47" eb="49">
      <t>ホウホウ</t>
    </rPh>
    <rPh sb="51" eb="53">
      <t>カキ</t>
    </rPh>
    <rPh sb="55" eb="57">
      <t>サンショウ</t>
    </rPh>
    <phoneticPr fontId="1"/>
  </si>
  <si>
    <t>７－２　認知症高齢者自立度</t>
    <rPh sb="4" eb="6">
      <t>ニンチ</t>
    </rPh>
    <rPh sb="6" eb="7">
      <t>ショウ</t>
    </rPh>
    <phoneticPr fontId="1"/>
  </si>
  <si>
    <t>被保険者番号：</t>
    <phoneticPr fontId="1"/>
  </si>
  <si>
    <t>名前：</t>
    <phoneticPr fontId="1"/>
  </si>
  <si>
    <r>
      <t>実施日　</t>
    </r>
    <r>
      <rPr>
        <u/>
        <sz val="9"/>
        <rFont val="ＭＳ Ｐゴシック"/>
        <family val="3"/>
        <charset val="128"/>
        <scheme val="minor"/>
      </rPr>
      <t>（4：平成　5：令和）</t>
    </r>
    <rPh sb="0" eb="2">
      <t>ジッシ</t>
    </rPh>
    <rPh sb="2" eb="3">
      <t>ビ</t>
    </rPh>
    <rPh sb="7" eb="9">
      <t>ヘイセイ</t>
    </rPh>
    <rPh sb="12" eb="13">
      <t>レイ</t>
    </rPh>
    <rPh sb="13" eb="14">
      <t>ワ</t>
    </rPh>
    <phoneticPr fontId="1"/>
  </si>
  <si>
    <t>令和</t>
    <rPh sb="0" eb="1">
      <t>レイ</t>
    </rPh>
    <rPh sb="1" eb="2">
      <t>ワ</t>
    </rPh>
    <phoneticPr fontId="1"/>
  </si>
  <si>
    <t>調査員番号</t>
    <rPh sb="0" eb="3">
      <t>チョウサイン</t>
    </rPh>
    <rPh sb="3" eb="5">
      <t>バンゴウ</t>
    </rPh>
    <phoneticPr fontId="1"/>
  </si>
  <si>
    <t>調査員番号</t>
    <rPh sb="0" eb="3">
      <t>チョウサイン</t>
    </rPh>
    <rPh sb="3" eb="5">
      <t>バンゴウ</t>
    </rPh>
    <phoneticPr fontId="1"/>
  </si>
  <si>
    <t>連絡先　氏名</t>
    <rPh sb="0" eb="3">
      <t>レンラクサキ</t>
    </rPh>
    <rPh sb="4" eb="6">
      <t>シメイ</t>
    </rPh>
    <phoneticPr fontId="1"/>
  </si>
  <si>
    <t>連絡先　連絡先の℡</t>
    <rPh sb="0" eb="3">
      <t>レンラクサキ</t>
    </rPh>
    <rPh sb="4" eb="7">
      <t>レンラクサキ</t>
    </rPh>
    <phoneticPr fontId="1"/>
  </si>
  <si>
    <r>
      <t>現住所　</t>
    </r>
    <r>
      <rPr>
        <u/>
        <sz val="9"/>
        <rFont val="ＭＳ Ｐゴシック"/>
        <family val="3"/>
        <charset val="128"/>
        <scheme val="minor"/>
      </rPr>
      <t>（施設・病院名または住所）</t>
    </r>
    <rPh sb="0" eb="3">
      <t>ゲンジュウショ</t>
    </rPh>
    <rPh sb="5" eb="7">
      <t>シセツ</t>
    </rPh>
    <rPh sb="8" eb="10">
      <t>ビョウイン</t>
    </rPh>
    <rPh sb="10" eb="11">
      <t>メイ</t>
    </rPh>
    <rPh sb="14" eb="16">
      <t>ジュウショ</t>
    </rPh>
    <phoneticPr fontId="1"/>
  </si>
  <si>
    <t>連絡先　関係</t>
    <rPh sb="0" eb="3">
      <t>レンラクサキ</t>
    </rPh>
    <rPh sb="4" eb="6">
      <t>カンケイ</t>
    </rPh>
    <phoneticPr fontId="1"/>
  </si>
  <si>
    <t>連絡先　連絡先の住所</t>
    <rPh sb="0" eb="3">
      <t>レンラクサキ</t>
    </rPh>
    <rPh sb="4" eb="7">
      <t>レンラクサキ</t>
    </rPh>
    <rPh sb="8" eb="10">
      <t>ジュウショ</t>
    </rPh>
    <phoneticPr fontId="1"/>
  </si>
  <si>
    <t>℡</t>
    <phoneticPr fontId="1"/>
  </si>
  <si>
    <t>現住所　〒</t>
    <rPh sb="0" eb="3">
      <t>ゲンジュウショ</t>
    </rPh>
    <phoneticPr fontId="1"/>
  </si>
  <si>
    <t>連絡先　〒</t>
    <rPh sb="0" eb="3">
      <t>レンラクサキ</t>
    </rPh>
    <phoneticPr fontId="1"/>
  </si>
  <si>
    <t>現在状況</t>
    <rPh sb="0" eb="4">
      <t>ゲンザイジョウキョウ</t>
    </rPh>
    <phoneticPr fontId="1"/>
  </si>
  <si>
    <t>家族状況</t>
    <rPh sb="0" eb="4">
      <t>カゾクジョウキョウ</t>
    </rPh>
    <phoneticPr fontId="1"/>
  </si>
  <si>
    <t xml:space="preserve">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</si>
</sst>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個&quot;&quot;該&quot;&quot;当&quot;"/>
    <numFmt numFmtId="177" formatCode="0000000000"/>
    <numFmt numFmtId="178" formatCode="00"/>
    <numFmt numFmtId="179" formatCode="000"/>
    <numFmt numFmtId="180" formatCode="00000000"/>
  </numFmts>
  <fonts count="52"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6"/>
      <name val="ＭＳ ゴシック"/>
      <family val="3"/>
      <charset val="128"/>
    </font>
    <font>
      <sz val="11"/>
      <name val="ＭＳ Ｐゴシック"/>
      <family val="3"/>
      <charset val="128"/>
    </font>
    <font>
      <b/>
      <sz val="18"/>
      <name val="ＭＳ ゴシック"/>
      <family val="3"/>
      <charset val="128"/>
    </font>
    <font>
      <sz val="6"/>
      <name val="ＭＳ Ｐゴシック"/>
      <family val="3"/>
      <charset val="128"/>
    </font>
    <font>
      <b/>
      <sz val="9"/>
      <name val="ＭＳ ゴシック"/>
      <family val="3"/>
      <charset val="128"/>
    </font>
    <font>
      <sz val="8"/>
      <name val="ＭＳ ゴシック"/>
      <family val="3"/>
      <charset val="128"/>
    </font>
    <font>
      <sz val="9"/>
      <name val="ＭＳ ゴシック"/>
      <family val="3"/>
      <charset val="128"/>
    </font>
    <font>
      <sz val="9"/>
      <color rgb="FFFF0000"/>
      <name val="ＭＳ ゴシック"/>
      <family val="3"/>
      <charset val="128"/>
    </font>
    <font>
      <sz val="8.5"/>
      <name val="ＭＳ ゴシック"/>
      <family val="3"/>
      <charset val="128"/>
    </font>
    <font>
      <sz val="8.5"/>
      <name val="ＭＳ Ｐゴシック"/>
      <family val="3"/>
      <charset val="128"/>
    </font>
    <font>
      <sz val="9"/>
      <name val="ＭＳ Ｐゴシック"/>
      <family val="3"/>
      <charset val="128"/>
    </font>
    <font>
      <sz val="14"/>
      <color theme="1"/>
      <name val="ＭＳ Ｐゴシック"/>
      <family val="2"/>
      <charset val="128"/>
      <scheme val="minor"/>
    </font>
    <font>
      <sz val="18"/>
      <color theme="1"/>
      <name val="ＭＳ Ｐゴシック"/>
      <family val="2"/>
      <charset val="128"/>
      <scheme val="minor"/>
    </font>
    <font>
      <b/>
      <sz val="16"/>
      <color theme="1"/>
      <name val="ＭＳ Ｐゴシック"/>
      <family val="3"/>
      <charset val="128"/>
      <scheme val="minor"/>
    </font>
    <font>
      <b/>
      <sz val="11"/>
      <color theme="1"/>
      <name val="ＭＳ Ｐゴシック"/>
      <family val="3"/>
      <charset val="128"/>
      <scheme val="minor"/>
    </font>
    <font>
      <sz val="10"/>
      <color theme="1"/>
      <name val="ＭＳ Ｐゴシック"/>
      <family val="2"/>
      <charset val="128"/>
      <scheme val="minor"/>
    </font>
    <font>
      <sz val="10"/>
      <color theme="0"/>
      <name val="ＭＳ Ｐゴシック"/>
      <family val="2"/>
      <charset val="128"/>
      <scheme val="minor"/>
    </font>
    <font>
      <sz val="10"/>
      <name val="ＭＳ Ｐゴシック"/>
      <family val="2"/>
      <charset val="128"/>
      <scheme val="minor"/>
    </font>
    <font>
      <sz val="11"/>
      <color rgb="FF00B050"/>
      <name val="ＭＳ Ｐゴシック"/>
      <family val="2"/>
      <charset val="128"/>
      <scheme val="minor"/>
    </font>
    <font>
      <sz val="11"/>
      <color rgb="FFFF0000"/>
      <name val="ＭＳ Ｐゴシック"/>
      <family val="2"/>
      <charset val="128"/>
      <scheme val="minor"/>
    </font>
    <font>
      <sz val="11"/>
      <color theme="0"/>
      <name val="ＭＳ Ｐゴシック"/>
      <family val="2"/>
      <charset val="128"/>
      <scheme val="minor"/>
    </font>
    <font>
      <sz val="11"/>
      <name val="ＭＳ Ｐゴシック"/>
      <family val="2"/>
      <charset val="128"/>
      <scheme val="minor"/>
    </font>
    <font>
      <sz val="16"/>
      <color rgb="FF00B050"/>
      <name val="ＭＳ Ｐゴシック"/>
      <family val="2"/>
      <charset val="128"/>
      <scheme val="minor"/>
    </font>
    <font>
      <sz val="9"/>
      <name val="ＭＳ Ｐゴシック"/>
      <family val="3"/>
      <charset val="128"/>
      <scheme val="minor"/>
    </font>
    <font>
      <sz val="9"/>
      <color rgb="FFFF0000"/>
      <name val="ＭＳ Ｐゴシック"/>
      <family val="3"/>
      <charset val="128"/>
      <scheme val="minor"/>
    </font>
    <font>
      <u/>
      <sz val="9"/>
      <name val="ＭＳ Ｐゴシック"/>
      <family val="3"/>
      <charset val="128"/>
      <scheme val="minor"/>
    </font>
    <font>
      <u/>
      <sz val="9"/>
      <color theme="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1"/>
      <color theme="1"/>
      <name val="ＭＳ Ｐゴシック"/>
      <family val="3"/>
      <charset val="128"/>
      <scheme val="minor"/>
    </font>
    <font>
      <sz val="10"/>
      <color rgb="FFFF0000"/>
      <name val="ＭＳ Ｐゴシック"/>
      <family val="3"/>
      <charset val="128"/>
      <scheme val="minor"/>
    </font>
    <font>
      <sz val="10"/>
      <color rgb="FF00B050"/>
      <name val="ＭＳ Ｐゴシック"/>
      <family val="3"/>
      <charset val="128"/>
      <scheme val="minor"/>
    </font>
    <font>
      <sz val="11"/>
      <color rgb="FFFF0000"/>
      <name val="ＭＳ Ｐゴシック"/>
      <family val="3"/>
      <charset val="128"/>
      <scheme val="minor"/>
    </font>
    <font>
      <sz val="14"/>
      <color theme="1"/>
      <name val="ＭＳ Ｐゴシック"/>
      <family val="3"/>
      <charset val="128"/>
      <scheme val="minor"/>
    </font>
    <font>
      <sz val="11"/>
      <name val="ＭＳ Ｐゴシック"/>
      <family val="3"/>
      <charset val="128"/>
      <scheme val="minor"/>
    </font>
    <font>
      <u/>
      <sz val="11"/>
      <name val="ＭＳ Ｐゴシック"/>
      <family val="3"/>
      <charset val="128"/>
      <scheme val="minor"/>
    </font>
    <font>
      <u/>
      <sz val="11"/>
      <color theme="1"/>
      <name val="ＭＳ Ｐゴシック"/>
      <family val="3"/>
      <charset val="128"/>
      <scheme val="minor"/>
    </font>
    <font>
      <sz val="16"/>
      <color theme="1"/>
      <name val="ＭＳ Ｐゴシック"/>
      <family val="3"/>
      <charset val="128"/>
      <scheme val="minor"/>
    </font>
    <font>
      <sz val="11"/>
      <color rgb="FF00B050"/>
      <name val="ＭＳ Ｐゴシック"/>
      <family val="3"/>
      <charset val="128"/>
      <scheme val="minor"/>
    </font>
    <font>
      <u/>
      <sz val="11"/>
      <color rgb="FFFF0000"/>
      <name val="ＭＳ Ｐゴシック"/>
      <family val="3"/>
      <charset val="128"/>
      <scheme val="minor"/>
    </font>
    <font>
      <sz val="10"/>
      <color theme="0"/>
      <name val="ＭＳ Ｐゴシック"/>
      <family val="3"/>
      <charset val="128"/>
      <scheme val="minor"/>
    </font>
    <font>
      <sz val="10"/>
      <color rgb="FFFF0000"/>
      <name val="ＭＳ Ｐゴシック"/>
      <family val="2"/>
      <charset val="128"/>
      <scheme val="minor"/>
    </font>
    <font>
      <b/>
      <u/>
      <sz val="11"/>
      <name val="ＭＳ Ｐゴシック"/>
      <family val="3"/>
      <charset val="128"/>
      <scheme val="minor"/>
    </font>
    <font>
      <b/>
      <u/>
      <sz val="11"/>
      <color theme="1"/>
      <name val="ＭＳ Ｐゴシック"/>
      <family val="3"/>
      <charset val="128"/>
      <scheme val="minor"/>
    </font>
    <font>
      <sz val="9"/>
      <name val="ＭＳ Ｐゴシック"/>
      <family val="2"/>
      <charset val="128"/>
      <scheme val="minor"/>
    </font>
    <font>
      <b/>
      <sz val="9"/>
      <color theme="1"/>
      <name val="ＭＳ Ｐゴシック"/>
      <family val="3"/>
      <charset val="128"/>
      <scheme val="minor"/>
    </font>
    <font>
      <b/>
      <sz val="13"/>
      <color theme="1"/>
      <name val="ＭＳ Ｐゴシック"/>
      <family val="3"/>
      <charset val="128"/>
      <scheme val="minor"/>
    </font>
    <font>
      <sz val="9"/>
      <color rgb="FF000000"/>
      <name val="MS UI Gothic"/>
      <family val="3"/>
      <charset val="128"/>
    </font>
  </fonts>
  <fills count="8">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66"/>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rgb="FF0070C0"/>
      </left>
      <right style="thin">
        <color indexed="64"/>
      </right>
      <top style="medium">
        <color rgb="FF0070C0"/>
      </top>
      <bottom style="medium">
        <color indexed="64"/>
      </bottom>
      <diagonal/>
    </border>
    <border>
      <left style="thin">
        <color indexed="64"/>
      </left>
      <right style="thin">
        <color indexed="64"/>
      </right>
      <top style="medium">
        <color rgb="FF0070C0"/>
      </top>
      <bottom style="medium">
        <color indexed="64"/>
      </bottom>
      <diagonal/>
    </border>
    <border>
      <left style="thin">
        <color indexed="64"/>
      </left>
      <right style="medium">
        <color rgb="FF0070C0"/>
      </right>
      <top style="medium">
        <color rgb="FF0070C0"/>
      </top>
      <bottom style="medium">
        <color indexed="64"/>
      </bottom>
      <diagonal/>
    </border>
    <border>
      <left style="medium">
        <color rgb="FF0070C0"/>
      </left>
      <right style="thin">
        <color indexed="64"/>
      </right>
      <top style="medium">
        <color indexed="64"/>
      </top>
      <bottom style="medium">
        <color indexed="64"/>
      </bottom>
      <diagonal/>
    </border>
    <border>
      <left style="thin">
        <color indexed="64"/>
      </left>
      <right style="medium">
        <color rgb="FF0070C0"/>
      </right>
      <top style="medium">
        <color indexed="64"/>
      </top>
      <bottom style="medium">
        <color indexed="64"/>
      </bottom>
      <diagonal/>
    </border>
    <border>
      <left style="medium">
        <color rgb="FF0070C0"/>
      </left>
      <right style="thin">
        <color indexed="64"/>
      </right>
      <top style="medium">
        <color indexed="64"/>
      </top>
      <bottom style="medium">
        <color rgb="FF0070C0"/>
      </bottom>
      <diagonal/>
    </border>
    <border>
      <left style="thin">
        <color indexed="64"/>
      </left>
      <right style="thin">
        <color indexed="64"/>
      </right>
      <top style="medium">
        <color indexed="64"/>
      </top>
      <bottom style="medium">
        <color rgb="FF0070C0"/>
      </bottom>
      <diagonal/>
    </border>
    <border>
      <left style="thin">
        <color indexed="64"/>
      </left>
      <right style="medium">
        <color rgb="FF0070C0"/>
      </right>
      <top style="medium">
        <color indexed="64"/>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0070C0"/>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70C0"/>
      </left>
      <right style="medium">
        <color rgb="FF0070C0"/>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style="thin">
        <color indexed="64"/>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bottom style="medium">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medium">
        <color rgb="FF0070C0"/>
      </top>
      <bottom/>
      <diagonal/>
    </border>
    <border>
      <left style="medium">
        <color indexed="64"/>
      </left>
      <right style="medium">
        <color indexed="64"/>
      </right>
      <top/>
      <bottom style="medium">
        <color indexed="64"/>
      </bottom>
      <diagonal/>
    </border>
    <border>
      <left style="medium">
        <color rgb="FF0070C0"/>
      </left>
      <right style="thin">
        <color indexed="64"/>
      </right>
      <top style="medium">
        <color rgb="FF0070C0"/>
      </top>
      <bottom/>
      <diagonal/>
    </border>
    <border>
      <left style="thin">
        <color indexed="64"/>
      </left>
      <right style="thin">
        <color indexed="64"/>
      </right>
      <top style="medium">
        <color rgb="FF0070C0"/>
      </top>
      <bottom/>
      <diagonal/>
    </border>
    <border>
      <left style="thin">
        <color indexed="64"/>
      </left>
      <right style="medium">
        <color rgb="FF0070C0"/>
      </right>
      <top style="medium">
        <color rgb="FF0070C0"/>
      </top>
      <bottom/>
      <diagonal/>
    </border>
    <border>
      <left style="medium">
        <color rgb="FF0070C0"/>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style="medium">
        <color rgb="FF0070C0"/>
      </left>
      <right/>
      <top/>
      <bottom style="medium">
        <color rgb="FF0070C0"/>
      </bottom>
      <diagonal/>
    </border>
    <border>
      <left/>
      <right style="medium">
        <color rgb="FF0070C0"/>
      </right>
      <top/>
      <bottom style="medium">
        <color rgb="FF0070C0"/>
      </bottom>
      <diagonal/>
    </border>
    <border>
      <left style="medium">
        <color indexed="64"/>
      </left>
      <right style="thin">
        <color indexed="64"/>
      </right>
      <top/>
      <bottom/>
      <diagonal/>
    </border>
  </borders>
  <cellStyleXfs count="1">
    <xf numFmtId="0" fontId="0" fillId="0" borderId="0">
      <alignment vertical="center"/>
    </xf>
  </cellStyleXfs>
  <cellXfs count="289">
    <xf numFmtId="0" fontId="0" fillId="0" borderId="0" xfId="0">
      <alignment vertical="center"/>
    </xf>
    <xf numFmtId="49" fontId="4" fillId="0" borderId="0" xfId="0" applyNumberFormat="1" applyFont="1" applyAlignment="1"/>
    <xf numFmtId="49" fontId="5" fillId="0" borderId="0" xfId="0" applyNumberFormat="1" applyFont="1" applyAlignment="1"/>
    <xf numFmtId="49" fontId="8" fillId="0" borderId="0" xfId="0" applyNumberFormat="1" applyFont="1" applyAlignment="1">
      <alignment horizontal="center" vertical="center"/>
    </xf>
    <xf numFmtId="49" fontId="4" fillId="0" borderId="0" xfId="0" applyNumberFormat="1" applyFont="1" applyAlignment="1">
      <alignment horizontal="left"/>
    </xf>
    <xf numFmtId="49" fontId="9" fillId="0" borderId="0" xfId="0" applyNumberFormat="1" applyFont="1" applyAlignment="1"/>
    <xf numFmtId="49" fontId="9" fillId="0" borderId="0" xfId="0" applyNumberFormat="1" applyFont="1" applyAlignment="1">
      <alignment wrapText="1"/>
    </xf>
    <xf numFmtId="49" fontId="10" fillId="0" borderId="0" xfId="0" applyNumberFormat="1" applyFont="1" applyAlignment="1">
      <alignment horizontal="center" vertical="center"/>
    </xf>
    <xf numFmtId="49" fontId="11" fillId="0" borderId="0" xfId="0" applyNumberFormat="1" applyFont="1" applyAlignment="1">
      <alignment horizontal="right" vertical="center"/>
    </xf>
    <xf numFmtId="49" fontId="11" fillId="0" borderId="0" xfId="0" applyNumberFormat="1" applyFont="1" applyAlignment="1">
      <alignment horizontal="left" vertical="center"/>
    </xf>
    <xf numFmtId="0" fontId="19" fillId="3" borderId="0" xfId="0" applyFont="1" applyFill="1">
      <alignment vertical="center"/>
    </xf>
    <xf numFmtId="0" fontId="0" fillId="3" borderId="0" xfId="0" applyFill="1">
      <alignment vertical="center"/>
    </xf>
    <xf numFmtId="56" fontId="0" fillId="3" borderId="0" xfId="0" quotePrefix="1" applyNumberFormat="1" applyFill="1">
      <alignment vertical="center"/>
    </xf>
    <xf numFmtId="0" fontId="17" fillId="3" borderId="0" xfId="0" quotePrefix="1" applyFont="1" applyFill="1" applyAlignment="1">
      <alignment horizontal="center" vertical="center"/>
    </xf>
    <xf numFmtId="0" fontId="19" fillId="3" borderId="0" xfId="0" applyFont="1" applyFill="1" applyAlignment="1">
      <alignment vertical="top"/>
    </xf>
    <xf numFmtId="0" fontId="18" fillId="3" borderId="0" xfId="0" applyFont="1" applyFill="1" applyAlignment="1">
      <alignment horizontal="center" vertical="center"/>
    </xf>
    <xf numFmtId="0" fontId="20" fillId="3" borderId="0" xfId="0" applyFont="1" applyFill="1" applyAlignment="1">
      <alignment vertical="top"/>
    </xf>
    <xf numFmtId="0" fontId="20" fillId="3" borderId="0" xfId="0" applyFont="1" applyFill="1">
      <alignment vertical="center"/>
    </xf>
    <xf numFmtId="0" fontId="0" fillId="3" borderId="25" xfId="0" applyFill="1" applyBorder="1" applyAlignment="1">
      <alignment horizontal="left" vertical="center"/>
    </xf>
    <xf numFmtId="0" fontId="0" fillId="3" borderId="26" xfId="0" applyFill="1" applyBorder="1" applyAlignment="1">
      <alignment horizontal="left" vertical="center"/>
    </xf>
    <xf numFmtId="0" fontId="0" fillId="3" borderId="27" xfId="0" applyFill="1" applyBorder="1" applyAlignment="1">
      <alignment horizontal="left" vertical="center" wrapText="1"/>
    </xf>
    <xf numFmtId="0" fontId="0" fillId="3" borderId="0" xfId="0" applyFill="1" applyAlignment="1">
      <alignment horizontal="left" vertical="center"/>
    </xf>
    <xf numFmtId="0" fontId="0" fillId="3" borderId="26" xfId="0" applyFill="1" applyBorder="1" applyAlignment="1">
      <alignment horizontal="left" vertical="top"/>
    </xf>
    <xf numFmtId="0" fontId="0" fillId="3" borderId="27" xfId="0" applyFill="1" applyBorder="1" applyAlignment="1">
      <alignment horizontal="left" vertical="top"/>
    </xf>
    <xf numFmtId="0" fontId="18" fillId="3" borderId="0" xfId="0" applyFont="1" applyFill="1" applyAlignment="1">
      <alignment horizontal="center" vertical="center" wrapText="1"/>
    </xf>
    <xf numFmtId="0" fontId="16" fillId="3" borderId="0" xfId="0" applyFont="1" applyFill="1">
      <alignment vertical="center"/>
    </xf>
    <xf numFmtId="0" fontId="18" fillId="3" borderId="0" xfId="0" applyFont="1" applyFill="1" applyAlignment="1">
      <alignment horizontal="center" vertical="center" shrinkToFit="1"/>
    </xf>
    <xf numFmtId="0" fontId="21" fillId="3" borderId="0" xfId="0" applyFont="1" applyFill="1" applyAlignment="1">
      <alignment vertical="top"/>
    </xf>
    <xf numFmtId="0" fontId="21" fillId="3" borderId="0" xfId="0" applyFont="1" applyFill="1">
      <alignment vertical="center"/>
    </xf>
    <xf numFmtId="0" fontId="0" fillId="0" borderId="1" xfId="0" applyBorder="1" applyAlignment="1">
      <alignment horizontal="center" vertical="center"/>
    </xf>
    <xf numFmtId="0" fontId="21" fillId="3" borderId="28" xfId="0" applyFont="1" applyFill="1" applyBorder="1" applyAlignment="1">
      <alignment vertical="top"/>
    </xf>
    <xf numFmtId="176" fontId="22" fillId="3" borderId="0" xfId="0" applyNumberFormat="1" applyFont="1" applyFill="1" applyAlignment="1">
      <alignment horizontal="center" vertical="center"/>
    </xf>
    <xf numFmtId="0" fontId="22" fillId="3" borderId="0" xfId="0" applyFont="1" applyFill="1" applyAlignment="1">
      <alignment horizontal="center" vertical="center" shrinkToFit="1"/>
    </xf>
    <xf numFmtId="0" fontId="22" fillId="3" borderId="0" xfId="0" applyFont="1" applyFill="1" applyAlignment="1">
      <alignment horizontal="center" vertical="center" wrapText="1"/>
    </xf>
    <xf numFmtId="0" fontId="0" fillId="0" borderId="1" xfId="0" applyBorder="1">
      <alignment vertical="center"/>
    </xf>
    <xf numFmtId="0" fontId="0" fillId="4" borderId="1" xfId="0" applyFill="1" applyBorder="1" applyAlignment="1">
      <alignment horizontal="center" vertical="center"/>
    </xf>
    <xf numFmtId="0" fontId="0" fillId="3" borderId="25" xfId="0" applyFill="1" applyBorder="1" applyAlignment="1">
      <alignment vertical="center" wrapText="1"/>
    </xf>
    <xf numFmtId="0" fontId="0" fillId="3" borderId="26" xfId="0" applyFill="1" applyBorder="1" applyAlignment="1">
      <alignment vertical="center" wrapText="1"/>
    </xf>
    <xf numFmtId="0" fontId="0" fillId="3" borderId="27" xfId="0" applyFill="1" applyBorder="1" applyAlignment="1">
      <alignment vertical="center" wrapText="1"/>
    </xf>
    <xf numFmtId="0" fontId="25" fillId="3" borderId="0" xfId="0" applyFont="1" applyFill="1">
      <alignment vertical="center"/>
    </xf>
    <xf numFmtId="0" fontId="24" fillId="3" borderId="0" xfId="0" applyFont="1" applyFill="1">
      <alignment vertical="center"/>
    </xf>
    <xf numFmtId="0" fontId="26" fillId="3" borderId="0" xfId="0" applyFont="1" applyFill="1" applyAlignment="1">
      <alignment horizontal="center" vertical="center"/>
    </xf>
    <xf numFmtId="0" fontId="24" fillId="3" borderId="0" xfId="0" applyFont="1" applyFill="1" applyAlignment="1">
      <alignment vertical="center" shrinkToFit="1"/>
    </xf>
    <xf numFmtId="0" fontId="24" fillId="3" borderId="0" xfId="0" applyFont="1" applyFill="1" applyAlignment="1">
      <alignment horizontal="left" vertical="center"/>
    </xf>
    <xf numFmtId="0" fontId="23" fillId="3" borderId="0" xfId="0" applyFont="1" applyFill="1">
      <alignment vertical="center"/>
    </xf>
    <xf numFmtId="0" fontId="0" fillId="0" borderId="1" xfId="0" applyBorder="1" applyAlignment="1"/>
    <xf numFmtId="56" fontId="0" fillId="0" borderId="1" xfId="0" applyNumberFormat="1" applyBorder="1" applyAlignment="1"/>
    <xf numFmtId="0" fontId="0" fillId="0" borderId="0" xfId="0" applyAlignment="1">
      <alignment horizontal="center" vertical="center"/>
    </xf>
    <xf numFmtId="0" fontId="0" fillId="0" borderId="29" xfId="0" applyBorder="1" applyAlignment="1"/>
    <xf numFmtId="0" fontId="0" fillId="0" borderId="30" xfId="0" applyBorder="1" applyAlignment="1"/>
    <xf numFmtId="0" fontId="0" fillId="0" borderId="33" xfId="0" applyBorder="1" applyAlignment="1"/>
    <xf numFmtId="0" fontId="0" fillId="0" borderId="35" xfId="0" applyBorder="1" applyAlignment="1"/>
    <xf numFmtId="0" fontId="0" fillId="0" borderId="36" xfId="0" applyBorder="1" applyAlignment="1"/>
    <xf numFmtId="56" fontId="0" fillId="0" borderId="3" xfId="0" applyNumberFormat="1" applyBorder="1" applyAlignment="1"/>
    <xf numFmtId="56" fontId="0" fillId="0" borderId="30" xfId="0" applyNumberFormat="1" applyBorder="1" applyAlignment="1"/>
    <xf numFmtId="56" fontId="0" fillId="0" borderId="36" xfId="0" applyNumberFormat="1" applyBorder="1" applyAlignment="1"/>
    <xf numFmtId="0" fontId="0" fillId="0" borderId="39" xfId="0" applyBorder="1" applyAlignment="1"/>
    <xf numFmtId="56" fontId="0" fillId="0" borderId="4" xfId="0" applyNumberFormat="1" applyBorder="1" applyAlignment="1"/>
    <xf numFmtId="0" fontId="0" fillId="0" borderId="40" xfId="0" applyBorder="1" applyAlignment="1"/>
    <xf numFmtId="0" fontId="0" fillId="0" borderId="32" xfId="0" applyBorder="1" applyAlignment="1">
      <alignment vertical="center" shrinkToFit="1"/>
    </xf>
    <xf numFmtId="0" fontId="0" fillId="0" borderId="34" xfId="0" applyBorder="1" applyAlignment="1">
      <alignment vertical="center" shrinkToFit="1"/>
    </xf>
    <xf numFmtId="0" fontId="0" fillId="0" borderId="37" xfId="0" applyBorder="1" applyAlignment="1">
      <alignment vertical="center" shrinkToFit="1"/>
    </xf>
    <xf numFmtId="0" fontId="0" fillId="0" borderId="30" xfId="0" applyBorder="1" applyAlignment="1">
      <alignment horizontal="center" vertical="center"/>
    </xf>
    <xf numFmtId="0" fontId="0" fillId="3" borderId="31" xfId="0" applyFill="1" applyBorder="1" applyAlignment="1">
      <alignment horizontal="center" vertical="center"/>
    </xf>
    <xf numFmtId="0" fontId="0" fillId="0" borderId="4" xfId="0" applyBorder="1" applyAlignment="1">
      <alignment horizontal="center" vertical="center"/>
    </xf>
    <xf numFmtId="0" fontId="0" fillId="3" borderId="0" xfId="0" applyFill="1" applyAlignment="1">
      <alignment horizontal="center" vertical="center"/>
    </xf>
    <xf numFmtId="0" fontId="0" fillId="0" borderId="38" xfId="0" applyBorder="1" applyAlignment="1">
      <alignment horizontal="center" vertical="center"/>
    </xf>
    <xf numFmtId="0" fontId="0" fillId="3" borderId="38" xfId="0" applyFill="1" applyBorder="1" applyAlignment="1">
      <alignment horizontal="center" vertical="center"/>
    </xf>
    <xf numFmtId="0" fontId="0" fillId="0" borderId="36" xfId="0" applyBorder="1" applyAlignment="1">
      <alignment horizontal="center" vertical="center"/>
    </xf>
    <xf numFmtId="0" fontId="0" fillId="0" borderId="3" xfId="0" applyBorder="1" applyAlignment="1">
      <alignment horizontal="center" vertical="center"/>
    </xf>
    <xf numFmtId="0" fontId="0" fillId="4" borderId="4" xfId="0" applyFill="1" applyBorder="1" applyAlignment="1">
      <alignment horizontal="center" vertical="center"/>
    </xf>
    <xf numFmtId="0" fontId="0" fillId="0" borderId="41" xfId="0" applyBorder="1" applyAlignment="1">
      <alignment horizontal="left" vertical="center"/>
    </xf>
    <xf numFmtId="0" fontId="0" fillId="0" borderId="42" xfId="0" applyBorder="1" applyAlignment="1">
      <alignment horizontal="left" vertical="center"/>
    </xf>
    <xf numFmtId="0" fontId="0" fillId="3" borderId="44" xfId="0" applyFill="1" applyBorder="1" applyAlignment="1">
      <alignment horizontal="center" vertical="center"/>
    </xf>
    <xf numFmtId="0" fontId="0" fillId="3" borderId="46" xfId="0" applyFill="1" applyBorder="1" applyAlignment="1">
      <alignment horizontal="center" vertical="center"/>
    </xf>
    <xf numFmtId="0" fontId="0" fillId="0" borderId="43" xfId="0" applyBorder="1" applyAlignment="1">
      <alignment horizontal="left" vertical="center"/>
    </xf>
    <xf numFmtId="0" fontId="0" fillId="0" borderId="45" xfId="0" applyBorder="1" applyAlignment="1">
      <alignment horizontal="left" vertical="center"/>
    </xf>
    <xf numFmtId="0" fontId="0" fillId="4" borderId="1" xfId="0" applyFill="1" applyBorder="1">
      <alignment vertical="center"/>
    </xf>
    <xf numFmtId="179" fontId="2" fillId="0" borderId="2" xfId="0" applyNumberFormat="1" applyFont="1" applyBorder="1" applyAlignment="1">
      <alignment horizontal="center" vertical="center"/>
    </xf>
    <xf numFmtId="0" fontId="0" fillId="4" borderId="1" xfId="0" applyFill="1" applyBorder="1" applyAlignment="1">
      <alignment vertical="center" shrinkToFit="1"/>
    </xf>
    <xf numFmtId="49" fontId="10" fillId="0" borderId="0" xfId="0" applyNumberFormat="1" applyFont="1" applyAlignment="1">
      <alignment horizontal="right" vertical="center"/>
    </xf>
    <xf numFmtId="0" fontId="0" fillId="0" borderId="32" xfId="0" applyBorder="1" applyAlignment="1">
      <alignment horizontal="center" vertical="center" shrinkToFit="1"/>
    </xf>
    <xf numFmtId="0" fontId="0" fillId="0" borderId="37" xfId="0" applyBorder="1" applyAlignment="1">
      <alignment horizontal="center" vertical="center" shrinkToFit="1"/>
    </xf>
    <xf numFmtId="0" fontId="15" fillId="3" borderId="28" xfId="0" applyFont="1" applyFill="1" applyBorder="1">
      <alignment vertical="center"/>
    </xf>
    <xf numFmtId="0" fontId="15" fillId="3" borderId="0" xfId="0" applyFont="1" applyFill="1">
      <alignment vertical="center"/>
    </xf>
    <xf numFmtId="0" fontId="0" fillId="3" borderId="28" xfId="0" applyFill="1" applyBorder="1">
      <alignment vertical="center"/>
    </xf>
    <xf numFmtId="0" fontId="23" fillId="3" borderId="0" xfId="0" applyFont="1" applyFill="1" applyAlignment="1">
      <alignment vertical="center" shrinkToFit="1"/>
    </xf>
    <xf numFmtId="0" fontId="23" fillId="3" borderId="0" xfId="0" applyFont="1" applyFill="1" applyAlignment="1">
      <alignment horizontal="left" vertical="center"/>
    </xf>
    <xf numFmtId="177" fontId="3" fillId="3" borderId="48" xfId="0" applyNumberFormat="1" applyFont="1" applyFill="1" applyBorder="1" applyAlignment="1" applyProtection="1">
      <alignment horizontal="center" vertical="center"/>
      <protection locked="0"/>
    </xf>
    <xf numFmtId="0" fontId="3" fillId="3" borderId="25" xfId="0" applyFont="1" applyFill="1" applyBorder="1" applyAlignment="1" applyProtection="1">
      <alignment horizontal="center" vertical="center"/>
      <protection locked="0"/>
    </xf>
    <xf numFmtId="0" fontId="3" fillId="3" borderId="48" xfId="0" applyFont="1" applyFill="1" applyBorder="1" applyAlignment="1" applyProtection="1">
      <alignment horizontal="center" vertical="center"/>
      <protection locked="0"/>
    </xf>
    <xf numFmtId="0" fontId="3" fillId="3" borderId="48" xfId="0" applyFont="1" applyFill="1" applyBorder="1" applyProtection="1">
      <alignment vertical="center"/>
      <protection locked="0"/>
    </xf>
    <xf numFmtId="178" fontId="3" fillId="3" borderId="48" xfId="0" applyNumberFormat="1" applyFont="1" applyFill="1" applyBorder="1" applyAlignment="1" applyProtection="1">
      <alignment horizontal="center" vertical="center"/>
      <protection locked="0"/>
    </xf>
    <xf numFmtId="0" fontId="0" fillId="0" borderId="0" xfId="0" applyAlignment="1">
      <alignment horizontal="left" vertical="center"/>
    </xf>
    <xf numFmtId="0" fontId="31" fillId="0" borderId="0" xfId="0" applyFont="1">
      <alignment vertical="center"/>
    </xf>
    <xf numFmtId="0" fontId="31" fillId="2" borderId="4" xfId="0" applyFont="1" applyFill="1" applyBorder="1" applyAlignment="1">
      <alignment horizontal="center" vertical="center"/>
    </xf>
    <xf numFmtId="0" fontId="34" fillId="0" borderId="0" xfId="0" applyFont="1">
      <alignment vertical="center"/>
    </xf>
    <xf numFmtId="0" fontId="35" fillId="0" borderId="0" xfId="0" applyFont="1">
      <alignment vertical="center"/>
    </xf>
    <xf numFmtId="0" fontId="31" fillId="2" borderId="1" xfId="0" applyFont="1" applyFill="1" applyBorder="1" applyAlignment="1">
      <alignment horizontal="center" vertical="center"/>
    </xf>
    <xf numFmtId="0" fontId="19" fillId="0" borderId="1" xfId="0" applyFont="1" applyBorder="1">
      <alignment vertical="center"/>
    </xf>
    <xf numFmtId="0" fontId="34" fillId="0" borderId="1" xfId="0" applyFont="1" applyBorder="1">
      <alignment vertical="center"/>
    </xf>
    <xf numFmtId="0" fontId="35" fillId="0" borderId="1" xfId="0" applyFont="1" applyBorder="1">
      <alignment vertical="center"/>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lignment vertical="center"/>
    </xf>
    <xf numFmtId="0" fontId="31" fillId="0" borderId="1" xfId="0" applyFont="1" applyBorder="1" applyAlignment="1">
      <alignment horizontal="left" vertical="center"/>
    </xf>
    <xf numFmtId="0" fontId="31" fillId="2" borderId="5" xfId="0" applyFont="1" applyFill="1" applyBorder="1" applyAlignment="1">
      <alignment horizontal="center" vertical="center"/>
    </xf>
    <xf numFmtId="0" fontId="31" fillId="2" borderId="3" xfId="0" applyFont="1" applyFill="1" applyBorder="1" applyAlignment="1">
      <alignment horizontal="center" vertical="center"/>
    </xf>
    <xf numFmtId="0" fontId="34" fillId="0" borderId="12" xfId="0" applyFont="1" applyBorder="1">
      <alignment vertical="center"/>
    </xf>
    <xf numFmtId="0" fontId="31" fillId="0" borderId="13" xfId="0" applyFont="1" applyBorder="1">
      <alignment vertical="center"/>
    </xf>
    <xf numFmtId="0" fontId="31" fillId="0" borderId="2" xfId="0" applyFont="1" applyBorder="1">
      <alignment vertical="center"/>
    </xf>
    <xf numFmtId="0" fontId="33" fillId="0" borderId="1" xfId="0" applyFont="1" applyBorder="1">
      <alignment vertical="center"/>
    </xf>
    <xf numFmtId="0" fontId="36" fillId="0" borderId="12" xfId="0" applyFont="1" applyBorder="1">
      <alignment vertical="center"/>
    </xf>
    <xf numFmtId="0" fontId="35" fillId="0" borderId="12" xfId="0" applyFont="1" applyBorder="1">
      <alignment vertical="center"/>
    </xf>
    <xf numFmtId="0" fontId="31" fillId="2" borderId="4" xfId="0" applyFont="1" applyFill="1" applyBorder="1" applyAlignment="1">
      <alignment horizontal="center" vertical="center" shrinkToFit="1"/>
    </xf>
    <xf numFmtId="0" fontId="34" fillId="0" borderId="13" xfId="0" applyFont="1" applyBorder="1">
      <alignment vertical="center"/>
    </xf>
    <xf numFmtId="0" fontId="34" fillId="0" borderId="2" xfId="0" applyFont="1" applyBorder="1">
      <alignment vertical="center"/>
    </xf>
    <xf numFmtId="0" fontId="0" fillId="0" borderId="47" xfId="0" applyBorder="1">
      <alignment vertical="center"/>
    </xf>
    <xf numFmtId="0" fontId="37" fillId="0" borderId="0" xfId="0" applyFont="1">
      <alignment vertical="center"/>
    </xf>
    <xf numFmtId="0" fontId="33" fillId="0" borderId="0" xfId="0" applyFont="1">
      <alignment vertical="center"/>
    </xf>
    <xf numFmtId="0" fontId="33" fillId="0" borderId="48" xfId="0" applyFont="1" applyBorder="1">
      <alignment vertical="center"/>
    </xf>
    <xf numFmtId="0" fontId="33" fillId="5" borderId="48" xfId="0" applyFont="1" applyFill="1" applyBorder="1">
      <alignment vertical="center"/>
    </xf>
    <xf numFmtId="0" fontId="38" fillId="0" borderId="0" xfId="0" applyFont="1">
      <alignment vertical="center"/>
    </xf>
    <xf numFmtId="0" fontId="33" fillId="0" borderId="0" xfId="0" applyFont="1" applyAlignment="1">
      <alignment vertical="top"/>
    </xf>
    <xf numFmtId="0" fontId="33" fillId="0" borderId="0" xfId="0" applyFont="1" applyAlignment="1">
      <alignment horizontal="left" vertical="center"/>
    </xf>
    <xf numFmtId="0" fontId="41" fillId="0" borderId="0" xfId="0" applyFont="1">
      <alignment vertical="center"/>
    </xf>
    <xf numFmtId="0" fontId="36" fillId="0" borderId="6" xfId="0" applyFont="1" applyBorder="1">
      <alignment vertical="center"/>
    </xf>
    <xf numFmtId="0" fontId="33" fillId="0" borderId="14" xfId="0" applyFont="1" applyBorder="1">
      <alignment vertical="center"/>
    </xf>
    <xf numFmtId="0" fontId="42" fillId="0" borderId="8" xfId="0" applyFont="1" applyBorder="1">
      <alignment vertical="center"/>
    </xf>
    <xf numFmtId="0" fontId="42" fillId="0" borderId="10" xfId="0" applyFont="1" applyBorder="1">
      <alignment vertical="center"/>
    </xf>
    <xf numFmtId="0" fontId="33" fillId="0" borderId="15" xfId="0" applyFont="1" applyBorder="1">
      <alignment vertical="center"/>
    </xf>
    <xf numFmtId="0" fontId="31" fillId="6" borderId="0" xfId="0" applyFont="1" applyFill="1">
      <alignment vertical="center"/>
    </xf>
    <xf numFmtId="0" fontId="34" fillId="6" borderId="0" xfId="0" applyFont="1" applyFill="1">
      <alignment vertical="center"/>
    </xf>
    <xf numFmtId="0" fontId="35" fillId="6" borderId="0" xfId="0" applyFont="1" applyFill="1">
      <alignment vertical="center"/>
    </xf>
    <xf numFmtId="0" fontId="44" fillId="0" borderId="0" xfId="0" applyFont="1">
      <alignment vertical="center"/>
    </xf>
    <xf numFmtId="0" fontId="32" fillId="0" borderId="0" xfId="0" applyFont="1">
      <alignment vertical="center"/>
    </xf>
    <xf numFmtId="0" fontId="0" fillId="0" borderId="12" xfId="0" applyBorder="1">
      <alignment vertical="center"/>
    </xf>
    <xf numFmtId="0" fontId="45" fillId="3" borderId="0" xfId="0" applyFont="1" applyFill="1" applyAlignment="1">
      <alignment vertical="top"/>
    </xf>
    <xf numFmtId="0" fontId="0" fillId="4" borderId="56" xfId="0" applyFill="1" applyBorder="1">
      <alignment vertical="center"/>
    </xf>
    <xf numFmtId="56" fontId="0" fillId="0" borderId="41" xfId="0" applyNumberFormat="1" applyBorder="1" applyAlignment="1">
      <alignment horizontal="left" vertical="center"/>
    </xf>
    <xf numFmtId="56" fontId="0" fillId="0" borderId="42" xfId="0" applyNumberFormat="1" applyBorder="1" applyAlignment="1">
      <alignment horizontal="left" vertical="center"/>
    </xf>
    <xf numFmtId="0" fontId="32" fillId="0" borderId="0" xfId="0" applyFont="1" applyAlignment="1">
      <alignment horizontal="left" vertical="center"/>
    </xf>
    <xf numFmtId="0" fontId="31" fillId="0" borderId="1" xfId="0" applyFont="1" applyBorder="1" applyAlignment="1">
      <alignment vertical="center" shrinkToFit="1"/>
    </xf>
    <xf numFmtId="49" fontId="12" fillId="0" borderId="1" xfId="0" applyNumberFormat="1" applyFont="1" applyBorder="1" applyAlignment="1">
      <alignment horizontal="center"/>
    </xf>
    <xf numFmtId="0" fontId="34" fillId="0" borderId="8" xfId="0" applyFont="1" applyBorder="1">
      <alignment vertical="center"/>
    </xf>
    <xf numFmtId="0" fontId="34" fillId="0" borderId="10" xfId="0" applyFont="1" applyBorder="1">
      <alignment vertical="center"/>
    </xf>
    <xf numFmtId="0" fontId="22" fillId="3" borderId="0" xfId="0" applyFont="1" applyFill="1" applyAlignment="1">
      <alignment horizontal="center" vertical="center" wrapText="1" shrinkToFit="1"/>
    </xf>
    <xf numFmtId="0" fontId="0" fillId="4" borderId="8" xfId="0" applyFill="1" applyBorder="1" applyAlignment="1">
      <alignment horizontal="center" vertical="center"/>
    </xf>
    <xf numFmtId="0" fontId="0" fillId="4" borderId="9" xfId="0" applyFill="1" applyBorder="1" applyAlignment="1">
      <alignment horizontal="center" vertical="center"/>
    </xf>
    <xf numFmtId="0" fontId="32" fillId="2" borderId="1" xfId="0" applyFont="1" applyFill="1" applyBorder="1" applyAlignment="1">
      <alignment horizontal="center" vertical="center" shrinkToFit="1"/>
    </xf>
    <xf numFmtId="0" fontId="32" fillId="2" borderId="1" xfId="0" applyFont="1" applyFill="1" applyBorder="1" applyAlignment="1">
      <alignment vertical="center" shrinkToFit="1"/>
    </xf>
    <xf numFmtId="0" fontId="0" fillId="0" borderId="0" xfId="0" applyProtection="1">
      <alignment vertical="center"/>
      <protection locked="0"/>
    </xf>
    <xf numFmtId="0" fontId="15" fillId="0" borderId="0" xfId="0" applyFont="1" applyProtection="1">
      <alignment vertical="center"/>
      <protection locked="0"/>
    </xf>
    <xf numFmtId="0" fontId="3" fillId="3" borderId="0" xfId="0" applyFont="1" applyFill="1">
      <alignment vertical="center"/>
    </xf>
    <xf numFmtId="0" fontId="2" fillId="3" borderId="0" xfId="0" applyFont="1" applyFill="1">
      <alignment vertical="center"/>
    </xf>
    <xf numFmtId="0" fontId="28" fillId="3" borderId="0" xfId="0" applyFont="1" applyFill="1">
      <alignment vertical="center"/>
    </xf>
    <xf numFmtId="177" fontId="3" fillId="3" borderId="0" xfId="0" applyNumberFormat="1" applyFont="1" applyFill="1">
      <alignment vertical="center"/>
    </xf>
    <xf numFmtId="0" fontId="3" fillId="3" borderId="0" xfId="0" applyFont="1" applyFill="1" applyAlignment="1">
      <alignment horizontal="left" vertical="center"/>
    </xf>
    <xf numFmtId="0" fontId="3" fillId="3" borderId="48" xfId="0" applyFont="1" applyFill="1" applyBorder="1" applyAlignment="1">
      <alignment horizontal="center" vertical="center"/>
    </xf>
    <xf numFmtId="0" fontId="3" fillId="3" borderId="0" xfId="0" applyFont="1" applyFill="1" applyAlignment="1">
      <alignment horizontal="center" vertical="center"/>
    </xf>
    <xf numFmtId="0" fontId="27" fillId="3" borderId="0" xfId="0" applyFont="1" applyFill="1">
      <alignment vertical="center"/>
    </xf>
    <xf numFmtId="0" fontId="48" fillId="3" borderId="0" xfId="0" applyFont="1" applyFill="1">
      <alignment vertical="center"/>
    </xf>
    <xf numFmtId="0" fontId="3" fillId="3" borderId="55" xfId="0" applyFont="1" applyFill="1" applyBorder="1" applyAlignment="1">
      <alignment horizontal="center" vertical="center"/>
    </xf>
    <xf numFmtId="0" fontId="3" fillId="3" borderId="0" xfId="0" applyFont="1" applyFill="1" applyAlignment="1">
      <alignment vertical="center" shrinkToFit="1"/>
    </xf>
    <xf numFmtId="0" fontId="0" fillId="0" borderId="34" xfId="0" applyBorder="1" applyAlignment="1">
      <alignment horizontal="center" vertical="center" shrinkToFit="1"/>
    </xf>
    <xf numFmtId="0" fontId="3" fillId="3" borderId="0" xfId="0" applyFont="1" applyFill="1" applyAlignment="1">
      <alignment vertical="top"/>
    </xf>
    <xf numFmtId="0" fontId="0" fillId="0" borderId="65" xfId="0" applyBorder="1" applyAlignment="1">
      <alignment horizontal="left" vertical="center"/>
    </xf>
    <xf numFmtId="56" fontId="0" fillId="0" borderId="5" xfId="0" applyNumberFormat="1" applyBorder="1" applyAlignment="1">
      <alignment horizontal="left" vertical="center"/>
    </xf>
    <xf numFmtId="49" fontId="12" fillId="0" borderId="14" xfId="0" applyNumberFormat="1" applyFont="1" applyBorder="1" applyAlignment="1">
      <alignment horizontal="left"/>
    </xf>
    <xf numFmtId="0" fontId="3" fillId="3" borderId="0" xfId="0" applyFont="1" applyFill="1" applyAlignment="1">
      <alignment vertical="top" wrapText="1"/>
    </xf>
    <xf numFmtId="0" fontId="32" fillId="0" borderId="0" xfId="0" applyFont="1" applyAlignment="1">
      <alignment horizontal="center" vertical="center"/>
    </xf>
    <xf numFmtId="0" fontId="34" fillId="0" borderId="4" xfId="0" applyFont="1" applyBorder="1">
      <alignment vertical="center"/>
    </xf>
    <xf numFmtId="0" fontId="35" fillId="0" borderId="4" xfId="0" applyFont="1" applyBorder="1">
      <alignment vertical="center"/>
    </xf>
    <xf numFmtId="0" fontId="31" fillId="0" borderId="0" xfId="0" applyFont="1" applyAlignment="1">
      <alignment horizontal="center" vertical="center"/>
    </xf>
    <xf numFmtId="56" fontId="0" fillId="0" borderId="12" xfId="0" applyNumberFormat="1" applyBorder="1" applyAlignment="1"/>
    <xf numFmtId="0" fontId="32" fillId="2" borderId="3" xfId="0" applyFont="1" applyFill="1" applyBorder="1" applyAlignment="1">
      <alignment horizontal="center" vertical="center" shrinkToFit="1"/>
    </xf>
    <xf numFmtId="0" fontId="15" fillId="3" borderId="0" xfId="0" applyFont="1" applyFill="1" applyAlignment="1">
      <alignment vertical="top" wrapText="1"/>
    </xf>
    <xf numFmtId="0" fontId="11" fillId="0" borderId="0" xfId="0" applyFont="1" applyAlignment="1">
      <alignment horizontal="left" vertical="center"/>
    </xf>
    <xf numFmtId="0" fontId="10" fillId="0" borderId="0" xfId="0" applyFont="1" applyAlignment="1">
      <alignment vertical="top" wrapText="1"/>
    </xf>
    <xf numFmtId="177" fontId="10" fillId="0" borderId="0" xfId="0" applyNumberFormat="1" applyFont="1" applyAlignment="1">
      <alignment horizontal="left" vertical="top" wrapText="1"/>
    </xf>
    <xf numFmtId="0" fontId="10" fillId="0" borderId="0" xfId="0" applyFont="1" applyAlignment="1">
      <alignment horizontal="right" vertical="top"/>
    </xf>
    <xf numFmtId="0" fontId="14" fillId="0" borderId="0" xfId="0" applyFont="1" applyAlignment="1">
      <alignment horizontal="left" vertical="top" shrinkToFit="1"/>
    </xf>
    <xf numFmtId="0" fontId="49" fillId="3" borderId="0" xfId="0" applyFont="1" applyFill="1" applyAlignment="1">
      <alignment horizontal="center" vertical="center" wrapText="1"/>
    </xf>
    <xf numFmtId="0" fontId="50" fillId="0" borderId="0" xfId="0" applyFont="1" applyProtection="1">
      <alignment vertical="center"/>
      <protection locked="0"/>
    </xf>
    <xf numFmtId="0" fontId="33" fillId="0" borderId="7" xfId="0" applyFont="1" applyBorder="1">
      <alignment vertical="center"/>
    </xf>
    <xf numFmtId="0" fontId="33" fillId="0" borderId="9" xfId="0" applyFont="1" applyBorder="1">
      <alignment vertical="center"/>
    </xf>
    <xf numFmtId="0" fontId="33" fillId="0" borderId="11" xfId="0" applyFont="1" applyBorder="1">
      <alignment vertical="center"/>
    </xf>
    <xf numFmtId="180" fontId="3" fillId="3" borderId="48" xfId="0" applyNumberFormat="1" applyFont="1" applyFill="1" applyBorder="1" applyAlignment="1" applyProtection="1">
      <alignment horizontal="center" vertical="center"/>
      <protection locked="0"/>
    </xf>
    <xf numFmtId="0" fontId="0" fillId="0" borderId="0" xfId="0" applyAlignment="1">
      <alignment vertical="center" shrinkToFit="1"/>
    </xf>
    <xf numFmtId="0" fontId="25" fillId="0" borderId="3" xfId="0" applyFont="1" applyBorder="1">
      <alignment vertical="center"/>
    </xf>
    <xf numFmtId="0" fontId="2" fillId="0" borderId="1" xfId="0" applyFont="1" applyBorder="1" applyAlignment="1">
      <alignment horizontal="center" vertical="center"/>
    </xf>
    <xf numFmtId="0" fontId="3" fillId="3" borderId="0" xfId="0" applyFont="1" applyFill="1" applyProtection="1">
      <alignment vertical="center"/>
      <protection locked="0"/>
    </xf>
    <xf numFmtId="0" fontId="3" fillId="7" borderId="0" xfId="0" applyFont="1" applyFill="1" applyAlignment="1">
      <alignment horizontal="left" vertical="center"/>
    </xf>
    <xf numFmtId="0" fontId="3" fillId="7" borderId="48" xfId="0" applyFont="1" applyFill="1" applyBorder="1" applyProtection="1">
      <alignment vertical="center"/>
      <protection locked="0"/>
    </xf>
    <xf numFmtId="178" fontId="3" fillId="7" borderId="48" xfId="0" applyNumberFormat="1" applyFont="1" applyFill="1" applyBorder="1" applyProtection="1">
      <alignment vertical="center"/>
      <protection locked="0"/>
    </xf>
    <xf numFmtId="0" fontId="15" fillId="3" borderId="17" xfId="0" applyFont="1" applyFill="1" applyBorder="1" applyAlignment="1" applyProtection="1">
      <alignment horizontal="left" vertical="top" wrapText="1"/>
      <protection locked="0"/>
    </xf>
    <xf numFmtId="0" fontId="15" fillId="3" borderId="18" xfId="0" applyFont="1" applyFill="1" applyBorder="1" applyAlignment="1" applyProtection="1">
      <alignment horizontal="left" vertical="top" wrapText="1"/>
      <protection locked="0"/>
    </xf>
    <xf numFmtId="0" fontId="15" fillId="3" borderId="19" xfId="0" applyFont="1" applyFill="1" applyBorder="1" applyAlignment="1" applyProtection="1">
      <alignment horizontal="left" vertical="top" wrapText="1"/>
      <protection locked="0"/>
    </xf>
    <xf numFmtId="0" fontId="15" fillId="3" borderId="20" xfId="0" applyFont="1" applyFill="1" applyBorder="1" applyAlignment="1" applyProtection="1">
      <alignment horizontal="left" vertical="top" wrapText="1"/>
      <protection locked="0"/>
    </xf>
    <xf numFmtId="0" fontId="15" fillId="3" borderId="16" xfId="0" applyFont="1" applyFill="1" applyBorder="1" applyAlignment="1" applyProtection="1">
      <alignment horizontal="left" vertical="top" wrapText="1"/>
      <protection locked="0"/>
    </xf>
    <xf numFmtId="0" fontId="15" fillId="3" borderId="21" xfId="0" applyFont="1" applyFill="1" applyBorder="1" applyAlignment="1" applyProtection="1">
      <alignment horizontal="left" vertical="top" wrapText="1"/>
      <protection locked="0"/>
    </xf>
    <xf numFmtId="0" fontId="15" fillId="3" borderId="22" xfId="0" applyFont="1" applyFill="1" applyBorder="1" applyAlignment="1" applyProtection="1">
      <alignment horizontal="left" vertical="top" wrapText="1"/>
      <protection locked="0"/>
    </xf>
    <xf numFmtId="0" fontId="15" fillId="3" borderId="23" xfId="0" applyFont="1" applyFill="1" applyBorder="1" applyAlignment="1" applyProtection="1">
      <alignment horizontal="left" vertical="top" wrapText="1"/>
      <protection locked="0"/>
    </xf>
    <xf numFmtId="0" fontId="15" fillId="3" borderId="24" xfId="0" applyFont="1" applyFill="1" applyBorder="1" applyAlignment="1" applyProtection="1">
      <alignment horizontal="left" vertical="top" wrapText="1"/>
      <protection locked="0"/>
    </xf>
    <xf numFmtId="0" fontId="3" fillId="3" borderId="57" xfId="0" applyFont="1" applyFill="1" applyBorder="1" applyAlignment="1" applyProtection="1">
      <alignment horizontal="left" vertical="center"/>
      <protection locked="0"/>
    </xf>
    <xf numFmtId="0" fontId="3" fillId="3" borderId="58" xfId="0" applyFont="1" applyFill="1" applyBorder="1" applyAlignment="1" applyProtection="1">
      <alignment horizontal="left" vertical="center"/>
      <protection locked="0"/>
    </xf>
    <xf numFmtId="0" fontId="3" fillId="3" borderId="59" xfId="0" applyFont="1" applyFill="1" applyBorder="1" applyAlignment="1" applyProtection="1">
      <alignment horizontal="left" vertical="center"/>
      <protection locked="0"/>
    </xf>
    <xf numFmtId="0" fontId="3" fillId="3" borderId="53" xfId="0" applyFont="1" applyFill="1" applyBorder="1" applyAlignment="1" applyProtection="1">
      <alignment horizontal="left" vertical="center" wrapText="1" shrinkToFit="1"/>
      <protection locked="0"/>
    </xf>
    <xf numFmtId="0" fontId="3" fillId="3" borderId="54" xfId="0" applyFont="1" applyFill="1" applyBorder="1" applyAlignment="1" applyProtection="1">
      <alignment horizontal="left" vertical="center" wrapText="1" shrinkToFit="1"/>
      <protection locked="0"/>
    </xf>
    <xf numFmtId="0" fontId="3" fillId="3" borderId="49" xfId="0" applyFont="1" applyFill="1" applyBorder="1" applyAlignment="1" applyProtection="1">
      <alignment horizontal="left" vertical="center"/>
      <protection locked="0"/>
    </xf>
    <xf numFmtId="0" fontId="3" fillId="3" borderId="50" xfId="0" applyFont="1" applyFill="1" applyBorder="1" applyAlignment="1" applyProtection="1">
      <alignment horizontal="left" vertical="center"/>
      <protection locked="0"/>
    </xf>
    <xf numFmtId="0" fontId="3" fillId="3" borderId="51" xfId="0" applyFont="1" applyFill="1" applyBorder="1" applyAlignment="1" applyProtection="1">
      <alignment horizontal="left" vertical="center"/>
      <protection locked="0"/>
    </xf>
    <xf numFmtId="0" fontId="3" fillId="3" borderId="60" xfId="0" applyFont="1" applyFill="1" applyBorder="1" applyAlignment="1" applyProtection="1">
      <alignment horizontal="left" vertical="top" wrapText="1"/>
      <protection locked="0"/>
    </xf>
    <xf numFmtId="0" fontId="3" fillId="3" borderId="55" xfId="0" applyFont="1" applyFill="1" applyBorder="1" applyAlignment="1" applyProtection="1">
      <alignment horizontal="left" vertical="top" wrapText="1"/>
      <protection locked="0"/>
    </xf>
    <xf numFmtId="0" fontId="3" fillId="3" borderId="61" xfId="0" applyFont="1" applyFill="1" applyBorder="1" applyAlignment="1" applyProtection="1">
      <alignment horizontal="left" vertical="top" wrapText="1"/>
      <protection locked="0"/>
    </xf>
    <xf numFmtId="0" fontId="3" fillId="3" borderId="28"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3" fillId="3" borderId="62" xfId="0" applyFont="1" applyFill="1" applyBorder="1" applyAlignment="1" applyProtection="1">
      <alignment horizontal="left" vertical="top" wrapText="1"/>
      <protection locked="0"/>
    </xf>
    <xf numFmtId="0" fontId="3" fillId="3" borderId="63" xfId="0" applyFont="1" applyFill="1" applyBorder="1" applyAlignment="1" applyProtection="1">
      <alignment horizontal="left" vertical="top" wrapText="1"/>
      <protection locked="0"/>
    </xf>
    <xf numFmtId="0" fontId="3" fillId="3" borderId="52" xfId="0" applyFont="1" applyFill="1" applyBorder="1" applyAlignment="1" applyProtection="1">
      <alignment horizontal="left" vertical="top" wrapText="1"/>
      <protection locked="0"/>
    </xf>
    <xf numFmtId="0" fontId="3" fillId="3" borderId="64" xfId="0" applyFont="1" applyFill="1" applyBorder="1" applyAlignment="1" applyProtection="1">
      <alignment horizontal="left" vertical="top" wrapText="1"/>
      <protection locked="0"/>
    </xf>
    <xf numFmtId="0" fontId="0" fillId="3" borderId="25" xfId="0" applyFill="1" applyBorder="1" applyAlignment="1" applyProtection="1">
      <alignment horizontal="center" vertical="center" wrapText="1"/>
      <protection locked="0"/>
    </xf>
    <xf numFmtId="0" fontId="0" fillId="3" borderId="26"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wrapText="1"/>
      <protection locked="0"/>
    </xf>
    <xf numFmtId="0" fontId="16" fillId="3" borderId="0" xfId="0" applyFont="1" applyFill="1" applyAlignment="1">
      <alignment horizontal="center" vertical="center"/>
    </xf>
    <xf numFmtId="0" fontId="0" fillId="3" borderId="0" xfId="0" applyFill="1" applyAlignment="1">
      <alignment horizontal="center" vertical="center"/>
    </xf>
    <xf numFmtId="0" fontId="0" fillId="3" borderId="52" xfId="0" applyFill="1" applyBorder="1" applyAlignment="1">
      <alignment horizontal="center" vertical="center"/>
    </xf>
    <xf numFmtId="177" fontId="0" fillId="3" borderId="0" xfId="0" applyNumberFormat="1" applyFill="1" applyAlignment="1">
      <alignment horizontal="center" vertical="center" shrinkToFit="1"/>
    </xf>
    <xf numFmtId="177" fontId="0" fillId="3" borderId="52" xfId="0" applyNumberFormat="1" applyFill="1" applyBorder="1" applyAlignment="1">
      <alignment horizontal="center" vertical="center" shrinkToFit="1"/>
    </xf>
    <xf numFmtId="0" fontId="0" fillId="3" borderId="0" xfId="0" applyFill="1" applyAlignment="1">
      <alignment horizontal="left" vertical="center"/>
    </xf>
    <xf numFmtId="0" fontId="0" fillId="3" borderId="52" xfId="0" applyFill="1" applyBorder="1" applyAlignment="1">
      <alignment horizontal="left" vertical="center"/>
    </xf>
    <xf numFmtId="0" fontId="20" fillId="3" borderId="0" xfId="0" applyFont="1" applyFill="1" applyAlignment="1">
      <alignment horizontal="left" vertical="top"/>
    </xf>
    <xf numFmtId="0" fontId="16" fillId="3" borderId="0" xfId="0" applyFont="1" applyFill="1" applyAlignment="1">
      <alignment horizontal="center" vertical="center" shrinkToFit="1"/>
    </xf>
    <xf numFmtId="0" fontId="19" fillId="3" borderId="25" xfId="0" applyFont="1" applyFill="1" applyBorder="1" applyAlignment="1" applyProtection="1">
      <alignment horizontal="center" vertical="center"/>
      <protection locked="0"/>
    </xf>
    <xf numFmtId="0" fontId="19" fillId="3" borderId="26" xfId="0" applyFont="1" applyFill="1" applyBorder="1" applyAlignment="1" applyProtection="1">
      <alignment horizontal="center" vertical="center"/>
      <protection locked="0"/>
    </xf>
    <xf numFmtId="0" fontId="19" fillId="3" borderId="27" xfId="0" applyFont="1" applyFill="1" applyBorder="1" applyAlignment="1" applyProtection="1">
      <alignment horizontal="center" vertical="center"/>
      <protection locked="0"/>
    </xf>
    <xf numFmtId="0" fontId="0" fillId="0" borderId="32" xfId="0" applyBorder="1" applyAlignment="1">
      <alignment horizontal="center" vertical="center" shrinkToFit="1"/>
    </xf>
    <xf numFmtId="0" fontId="0" fillId="0" borderId="34" xfId="0" applyBorder="1" applyAlignment="1">
      <alignment horizontal="center" vertical="center" shrinkToFit="1"/>
    </xf>
    <xf numFmtId="0" fontId="0" fillId="0" borderId="37" xfId="0" applyBorder="1" applyAlignment="1">
      <alignment horizontal="center" vertical="center" shrinkToFit="1"/>
    </xf>
    <xf numFmtId="0" fontId="0" fillId="4" borderId="4" xfId="0" applyFill="1" applyBorder="1" applyAlignment="1">
      <alignment horizontal="center" vertical="center"/>
    </xf>
    <xf numFmtId="0" fontId="0" fillId="4" borderId="12" xfId="0" applyFill="1" applyBorder="1" applyAlignment="1">
      <alignment horizontal="center" vertical="center"/>
    </xf>
    <xf numFmtId="0" fontId="0" fillId="4" borderId="2" xfId="0" applyFill="1" applyBorder="1" applyAlignment="1">
      <alignment horizontal="center" vertical="center"/>
    </xf>
    <xf numFmtId="0" fontId="0" fillId="0" borderId="41" xfId="0" applyBorder="1" applyAlignment="1">
      <alignment horizontal="center" vertical="center"/>
    </xf>
    <xf numFmtId="0" fontId="0" fillId="0" borderId="5" xfId="0" applyBorder="1" applyAlignment="1">
      <alignment horizontal="center" vertical="center"/>
    </xf>
    <xf numFmtId="0" fontId="0" fillId="0" borderId="42" xfId="0" applyBorder="1" applyAlignment="1">
      <alignment horizontal="center" vertical="center"/>
    </xf>
    <xf numFmtId="0" fontId="0" fillId="0" borderId="29" xfId="0" applyBorder="1" applyAlignment="1">
      <alignment horizontal="left" vertical="center"/>
    </xf>
    <xf numFmtId="0" fontId="0" fillId="0" borderId="33" xfId="0" applyBorder="1" applyAlignment="1">
      <alignment horizontal="left" vertical="center"/>
    </xf>
    <xf numFmtId="0" fontId="0" fillId="0" borderId="35" xfId="0" applyBorder="1" applyAlignment="1">
      <alignment horizontal="left" vertical="center"/>
    </xf>
    <xf numFmtId="56" fontId="0" fillId="0" borderId="30" xfId="0" applyNumberFormat="1" applyBorder="1" applyAlignment="1">
      <alignment horizontal="left" vertical="center"/>
    </xf>
    <xf numFmtId="56" fontId="0" fillId="0" borderId="1" xfId="0" applyNumberFormat="1" applyBorder="1" applyAlignment="1">
      <alignment horizontal="left" vertical="center"/>
    </xf>
    <xf numFmtId="56" fontId="0" fillId="0" borderId="36" xfId="0" applyNumberFormat="1" applyBorder="1" applyAlignment="1">
      <alignment horizontal="left" vertical="center"/>
    </xf>
    <xf numFmtId="0" fontId="0" fillId="4" borderId="1" xfId="0" applyFill="1" applyBorder="1" applyAlignment="1">
      <alignment horizontal="center" vertical="center"/>
    </xf>
    <xf numFmtId="0" fontId="0" fillId="4" borderId="1" xfId="0" applyFill="1" applyBorder="1" applyAlignment="1">
      <alignment horizontal="center" vertical="center" shrinkToFit="1"/>
    </xf>
    <xf numFmtId="0" fontId="0" fillId="0" borderId="0" xfId="0" applyAlignment="1">
      <alignment horizontal="left" vertical="center"/>
    </xf>
    <xf numFmtId="0" fontId="2" fillId="0" borderId="12" xfId="0" applyFont="1" applyBorder="1" applyAlignment="1">
      <alignment horizontal="center" vertical="center"/>
    </xf>
    <xf numFmtId="0" fontId="2" fillId="0" borderId="2" xfId="0" applyFont="1" applyBorder="1" applyAlignment="1">
      <alignment horizontal="center" vertical="center"/>
    </xf>
    <xf numFmtId="0" fontId="0" fillId="4" borderId="4" xfId="0" applyFill="1" applyBorder="1" applyAlignment="1">
      <alignment horizontal="center" vertical="center" shrinkToFit="1"/>
    </xf>
    <xf numFmtId="0" fontId="0" fillId="4" borderId="3" xfId="0" applyFill="1" applyBorder="1" applyAlignment="1">
      <alignment horizontal="center" vertical="center" shrinkToFit="1"/>
    </xf>
    <xf numFmtId="0" fontId="31" fillId="2" borderId="12" xfId="0" applyFont="1" applyFill="1" applyBorder="1" applyAlignment="1">
      <alignment horizontal="center" vertical="center"/>
    </xf>
    <xf numFmtId="0" fontId="31" fillId="2" borderId="13" xfId="0" applyFont="1" applyFill="1" applyBorder="1" applyAlignment="1">
      <alignment horizontal="center" vertical="center"/>
    </xf>
    <xf numFmtId="0" fontId="31" fillId="2" borderId="2"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3" xfId="0" applyFont="1" applyFill="1" applyBorder="1" applyAlignment="1">
      <alignment horizontal="center" vertical="center" shrinkToFit="1"/>
    </xf>
    <xf numFmtId="0" fontId="32" fillId="2" borderId="1" xfId="0" applyFont="1" applyFill="1" applyBorder="1" applyAlignment="1">
      <alignment horizontal="center" vertical="center" shrinkToFit="1"/>
    </xf>
    <xf numFmtId="0" fontId="31" fillId="2" borderId="1" xfId="0" applyFont="1" applyFill="1" applyBorder="1" applyAlignment="1">
      <alignment horizontal="center" vertical="center"/>
    </xf>
    <xf numFmtId="0" fontId="31" fillId="0" borderId="4" xfId="0" applyFont="1" applyBorder="1" applyAlignment="1">
      <alignment horizontal="left" vertical="center"/>
    </xf>
    <xf numFmtId="0" fontId="31" fillId="0" borderId="3" xfId="0" applyFont="1" applyBorder="1" applyAlignment="1">
      <alignment horizontal="left" vertical="center"/>
    </xf>
    <xf numFmtId="0" fontId="10" fillId="0" borderId="0" xfId="0" applyFont="1" applyAlignment="1">
      <alignment horizontal="right" vertical="top"/>
    </xf>
    <xf numFmtId="49" fontId="6" fillId="0" borderId="0" xfId="0" applyNumberFormat="1" applyFont="1" applyAlignment="1">
      <alignment horizontal="center" vertical="center"/>
    </xf>
    <xf numFmtId="0" fontId="10" fillId="0" borderId="4" xfId="0" applyFont="1" applyBorder="1" applyAlignment="1">
      <alignment horizontal="left" vertical="center"/>
    </xf>
    <xf numFmtId="0" fontId="14" fillId="0" borderId="4" xfId="0" applyFont="1" applyBorder="1" applyAlignment="1">
      <alignment horizontal="left" vertical="center"/>
    </xf>
    <xf numFmtId="0" fontId="14" fillId="0" borderId="3" xfId="0" applyFont="1" applyBorder="1" applyAlignment="1">
      <alignment horizontal="left" vertical="center"/>
    </xf>
    <xf numFmtId="0" fontId="10" fillId="0" borderId="4" xfId="0" applyFont="1" applyBorder="1" applyAlignment="1">
      <alignment horizontal="center" vertical="center"/>
    </xf>
    <xf numFmtId="0" fontId="14" fillId="0" borderId="3" xfId="0" applyFont="1" applyBorder="1">
      <alignment vertical="center"/>
    </xf>
    <xf numFmtId="177" fontId="10" fillId="0" borderId="0" xfId="0" applyNumberFormat="1" applyFont="1" applyAlignment="1">
      <alignment horizontal="left" vertical="center"/>
    </xf>
    <xf numFmtId="0" fontId="10" fillId="0" borderId="0" xfId="0" applyFont="1" applyAlignment="1">
      <alignment horizontal="left" vertical="center"/>
    </xf>
    <xf numFmtId="49" fontId="12" fillId="0" borderId="1" xfId="0" applyNumberFormat="1" applyFont="1" applyBorder="1" applyAlignment="1">
      <alignment horizontal="center"/>
    </xf>
    <xf numFmtId="49" fontId="13" fillId="0" borderId="1" xfId="0" applyNumberFormat="1" applyFont="1" applyBorder="1" applyAlignment="1">
      <alignment horizontal="center"/>
    </xf>
    <xf numFmtId="0" fontId="10" fillId="0" borderId="6" xfId="0" applyFont="1" applyBorder="1" applyAlignment="1">
      <alignment horizontal="left" vertical="top" wrapText="1"/>
    </xf>
    <xf numFmtId="0" fontId="10" fillId="0" borderId="14"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0" xfId="0" applyFont="1" applyAlignment="1">
      <alignment horizontal="left" vertical="top" wrapText="1"/>
    </xf>
    <xf numFmtId="0" fontId="10" fillId="0" borderId="9" xfId="0" applyFont="1" applyBorder="1" applyAlignment="1">
      <alignment horizontal="left" vertical="top" wrapText="1"/>
    </xf>
    <xf numFmtId="0" fontId="10" fillId="0" borderId="10" xfId="0" applyFont="1" applyBorder="1" applyAlignment="1">
      <alignment horizontal="left" vertical="top" wrapText="1"/>
    </xf>
    <xf numFmtId="0" fontId="10" fillId="0" borderId="15" xfId="0" applyFont="1" applyBorder="1" applyAlignment="1">
      <alignment horizontal="left" vertical="top" wrapText="1"/>
    </xf>
    <xf numFmtId="0" fontId="10" fillId="0" borderId="11" xfId="0" applyFont="1" applyBorder="1" applyAlignment="1">
      <alignment horizontal="left" vertical="top" wrapText="1"/>
    </xf>
    <xf numFmtId="0" fontId="9" fillId="0" borderId="0" xfId="0" applyFont="1" applyAlignment="1">
      <alignment horizontal="center"/>
    </xf>
    <xf numFmtId="0" fontId="10" fillId="0" borderId="1" xfId="0" applyFont="1" applyBorder="1" applyAlignment="1">
      <alignment horizontal="left" vertical="top" wrapText="1"/>
    </xf>
  </cellXfs>
  <cellStyles count="1">
    <cellStyle name="標準" xfId="0" builtinId="0"/>
  </cellStyles>
  <dxfs count="53">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none">
          <bgColor auto="1"/>
        </patternFill>
      </fill>
      <border>
        <left/>
        <right/>
        <top/>
        <bottom/>
      </border>
    </dxf>
    <dxf>
      <border>
        <left/>
        <right/>
        <top/>
        <vertical/>
        <horizontal/>
      </border>
    </dxf>
    <dxf>
      <border>
        <left/>
        <right/>
        <bottom/>
        <vertical/>
        <horizontal/>
      </border>
    </dxf>
    <dxf>
      <border>
        <left/>
        <right/>
        <top/>
        <vertical/>
        <horizontal/>
      </border>
    </dxf>
    <dxf>
      <border>
        <left/>
        <right/>
        <top/>
        <bottom/>
        <vertical/>
        <horizontal/>
      </border>
    </dxf>
    <dxf>
      <border>
        <left/>
        <right/>
        <bottom/>
        <vertical/>
        <horizontal/>
      </border>
    </dxf>
    <dxf>
      <fill>
        <patternFill patternType="none">
          <bgColor auto="1"/>
        </patternFill>
      </fill>
      <border>
        <left/>
        <right/>
        <top/>
        <bottom/>
      </border>
    </dxf>
    <dxf>
      <fill>
        <patternFill>
          <bgColor theme="9" tint="0.79998168889431442"/>
        </patternFill>
      </fill>
    </dxf>
    <dxf>
      <font>
        <color theme="0"/>
      </font>
    </dxf>
    <dxf>
      <font>
        <color theme="0"/>
      </font>
    </dxf>
    <dxf>
      <font>
        <color theme="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FFFF66"/>
      <color rgb="FFFFFF99"/>
      <color rgb="FFFF505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fmlaLink="計算シート!$B$2" lockText="1"/>
</file>

<file path=xl/ctrlProps/ctrlProp10.xml><?xml version="1.0" encoding="utf-8"?>
<formControlPr xmlns="http://schemas.microsoft.com/office/spreadsheetml/2009/9/main" objectType="CheckBox" fmlaLink="計算シート!$B$15" lockText="1" noThreeD="1"/>
</file>

<file path=xl/ctrlProps/ctrlProp11.xml><?xml version="1.0" encoding="utf-8"?>
<formControlPr xmlns="http://schemas.microsoft.com/office/spreadsheetml/2009/9/main" objectType="CheckBox" fmlaLink="計算シート!$B$16" lockText="1" noThreeD="1"/>
</file>

<file path=xl/ctrlProps/ctrlProp12.xml><?xml version="1.0" encoding="utf-8"?>
<formControlPr xmlns="http://schemas.microsoft.com/office/spreadsheetml/2009/9/main" objectType="CheckBox" fmlaLink="計算シート!$B$17" lockText="1" noThreeD="1"/>
</file>

<file path=xl/ctrlProps/ctrlProp13.xml><?xml version="1.0" encoding="utf-8"?>
<formControlPr xmlns="http://schemas.microsoft.com/office/spreadsheetml/2009/9/main" objectType="CheckBox" fmlaLink="計算シート!$B$18" lockText="1" noThreeD="1"/>
</file>

<file path=xl/ctrlProps/ctrlProp14.xml><?xml version="1.0" encoding="utf-8"?>
<formControlPr xmlns="http://schemas.microsoft.com/office/spreadsheetml/2009/9/main" objectType="CheckBox" fmlaLink="計算シート!$B$19" lockText="1" noThreeD="1"/>
</file>

<file path=xl/ctrlProps/ctrlProp15.xml><?xml version="1.0" encoding="utf-8"?>
<formControlPr xmlns="http://schemas.microsoft.com/office/spreadsheetml/2009/9/main" objectType="CheckBox" fmlaLink="計算シート!$B$20" lockText="1" noThreeD="1"/>
</file>

<file path=xl/ctrlProps/ctrlProp16.xml><?xml version="1.0" encoding="utf-8"?>
<formControlPr xmlns="http://schemas.microsoft.com/office/spreadsheetml/2009/9/main" objectType="CheckBox" fmlaLink="計算シート!$B$21" lockText="1" noThreeD="1"/>
</file>

<file path=xl/ctrlProps/ctrlProp17.xml><?xml version="1.0" encoding="utf-8"?>
<formControlPr xmlns="http://schemas.microsoft.com/office/spreadsheetml/2009/9/main" objectType="CheckBox" fmlaLink="計算シート!$B$22" lockText="1" noThreeD="1"/>
</file>

<file path=xl/ctrlProps/ctrlProp18.xml><?xml version="1.0" encoding="utf-8"?>
<formControlPr xmlns="http://schemas.microsoft.com/office/spreadsheetml/2009/9/main" objectType="CheckBox" fmlaLink="計算シート!$B$23" lockText="1" noThreeD="1"/>
</file>

<file path=xl/ctrlProps/ctrlProp19.xml><?xml version="1.0" encoding="utf-8"?>
<formControlPr xmlns="http://schemas.microsoft.com/office/spreadsheetml/2009/9/main" objectType="CheckBox" fmlaLink="計算シート!$B$24" lockText="1" noThreeD="1"/>
</file>

<file path=xl/ctrlProps/ctrlProp2.xml><?xml version="1.0" encoding="utf-8"?>
<formControlPr xmlns="http://schemas.microsoft.com/office/spreadsheetml/2009/9/main" objectType="CheckBox" fmlaLink="計算シート!$B$3" lockText="1"/>
</file>

<file path=xl/ctrlProps/ctrlProp20.xml><?xml version="1.0" encoding="utf-8"?>
<formControlPr xmlns="http://schemas.microsoft.com/office/spreadsheetml/2009/9/main" objectType="CheckBox" fmlaLink="計算シート!$B$25" lockText="1" noThreeD="1"/>
</file>

<file path=xl/ctrlProps/ctrlProp21.xml><?xml version="1.0" encoding="utf-8"?>
<formControlPr xmlns="http://schemas.microsoft.com/office/spreadsheetml/2009/9/main" objectType="CheckBox" fmlaLink="計算シート!$B$26" lockText="1" noThreeD="1"/>
</file>

<file path=xl/ctrlProps/ctrlProp3.xml><?xml version="1.0" encoding="utf-8"?>
<formControlPr xmlns="http://schemas.microsoft.com/office/spreadsheetml/2009/9/main" objectType="CheckBox" fmlaLink="計算シート!$B$4" lockText="1"/>
</file>

<file path=xl/ctrlProps/ctrlProp4.xml><?xml version="1.0" encoding="utf-8"?>
<formControlPr xmlns="http://schemas.microsoft.com/office/spreadsheetml/2009/9/main" objectType="CheckBox" fmlaLink="計算シート!$B$5" lockText="1"/>
</file>

<file path=xl/ctrlProps/ctrlProp5.xml><?xml version="1.0" encoding="utf-8"?>
<formControlPr xmlns="http://schemas.microsoft.com/office/spreadsheetml/2009/9/main" objectType="CheckBox" fmlaLink="計算シート!$B$6" lockText="1"/>
</file>

<file path=xl/ctrlProps/ctrlProp6.xml><?xml version="1.0" encoding="utf-8"?>
<formControlPr xmlns="http://schemas.microsoft.com/office/spreadsheetml/2009/9/main" objectType="CheckBox" fmlaLink="計算シート!$B$12" lockText="1"/>
</file>

<file path=xl/ctrlProps/ctrlProp7.xml><?xml version="1.0" encoding="utf-8"?>
<formControlPr xmlns="http://schemas.microsoft.com/office/spreadsheetml/2009/9/main" objectType="CheckBox" fmlaLink="計算シート!$B$11" lockText="1"/>
</file>

<file path=xl/ctrlProps/ctrlProp8.xml><?xml version="1.0" encoding="utf-8"?>
<formControlPr xmlns="http://schemas.microsoft.com/office/spreadsheetml/2009/9/main" objectType="CheckBox" fmlaLink="計算シート!$B$10" lockText="1"/>
</file>

<file path=xl/ctrlProps/ctrlProp9.xml><?xml version="1.0" encoding="utf-8"?>
<formControlPr xmlns="http://schemas.microsoft.com/office/spreadsheetml/2009/9/main" objectType="CheckBox" fmlaLink="計算シート!$B$9" lockText="1"/>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13</xdr:col>
      <xdr:colOff>76200</xdr:colOff>
      <xdr:row>2</xdr:row>
      <xdr:rowOff>9525</xdr:rowOff>
    </xdr:from>
    <xdr:to>
      <xdr:col>13</xdr:col>
      <xdr:colOff>676275</xdr:colOff>
      <xdr:row>27</xdr:row>
      <xdr:rowOff>0</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12906375" y="581025"/>
          <a:ext cx="600075" cy="8562975"/>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14</xdr:col>
      <xdr:colOff>171450</xdr:colOff>
      <xdr:row>13</xdr:row>
      <xdr:rowOff>276224</xdr:rowOff>
    </xdr:from>
    <xdr:to>
      <xdr:col>18</xdr:col>
      <xdr:colOff>68580</xdr:colOff>
      <xdr:row>16</xdr:row>
      <xdr:rowOff>91439</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2569190" y="4604384"/>
          <a:ext cx="2366010" cy="8439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200"/>
            <a:t>サービスを利用していない場合は，</a:t>
          </a:r>
          <a:endParaRPr kumimoji="1" lang="en-US" altLang="ja-JP" sz="1200"/>
        </a:p>
        <a:p>
          <a:r>
            <a:rPr kumimoji="1" lang="ja-JP" altLang="en-US" sz="1200"/>
            <a:t>何も入力する必要はありません。</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6</xdr:row>
          <xdr:rowOff>28575</xdr:rowOff>
        </xdr:from>
        <xdr:to>
          <xdr:col>1</xdr:col>
          <xdr:colOff>519113</xdr:colOff>
          <xdr:row>6</xdr:row>
          <xdr:rowOff>200025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左上肢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xdr:row>
          <xdr:rowOff>28575</xdr:rowOff>
        </xdr:from>
        <xdr:to>
          <xdr:col>1</xdr:col>
          <xdr:colOff>519113</xdr:colOff>
          <xdr:row>7</xdr:row>
          <xdr:rowOff>200025</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右上肢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8</xdr:row>
          <xdr:rowOff>28575</xdr:rowOff>
        </xdr:from>
        <xdr:to>
          <xdr:col>1</xdr:col>
          <xdr:colOff>519113</xdr:colOff>
          <xdr:row>8</xdr:row>
          <xdr:rowOff>200025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左下肢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9</xdr:row>
          <xdr:rowOff>38100</xdr:rowOff>
        </xdr:from>
        <xdr:to>
          <xdr:col>1</xdr:col>
          <xdr:colOff>519113</xdr:colOff>
          <xdr:row>9</xdr:row>
          <xdr:rowOff>214313</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右下肢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10</xdr:row>
          <xdr:rowOff>28575</xdr:rowOff>
        </xdr:from>
        <xdr:to>
          <xdr:col>1</xdr:col>
          <xdr:colOff>519113</xdr:colOff>
          <xdr:row>10</xdr:row>
          <xdr:rowOff>200025</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19</xdr:row>
          <xdr:rowOff>28575</xdr:rowOff>
        </xdr:from>
        <xdr:to>
          <xdr:col>1</xdr:col>
          <xdr:colOff>519113</xdr:colOff>
          <xdr:row>19</xdr:row>
          <xdr:rowOff>200025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28575</xdr:rowOff>
        </xdr:from>
        <xdr:to>
          <xdr:col>1</xdr:col>
          <xdr:colOff>519113</xdr:colOff>
          <xdr:row>18</xdr:row>
          <xdr:rowOff>200025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17</xdr:row>
          <xdr:rowOff>28575</xdr:rowOff>
        </xdr:from>
        <xdr:to>
          <xdr:col>1</xdr:col>
          <xdr:colOff>519113</xdr:colOff>
          <xdr:row>17</xdr:row>
          <xdr:rowOff>200025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38100</xdr:rowOff>
        </xdr:from>
        <xdr:to>
          <xdr:col>1</xdr:col>
          <xdr:colOff>519113</xdr:colOff>
          <xdr:row>16</xdr:row>
          <xdr:rowOff>214313</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肩</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252413</xdr:colOff>
          <xdr:row>7</xdr:row>
          <xdr:rowOff>190500</xdr:rowOff>
        </xdr:from>
        <xdr:to>
          <xdr:col>1</xdr:col>
          <xdr:colOff>557213</xdr:colOff>
          <xdr:row>9</xdr:row>
          <xdr:rowOff>85725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252413</xdr:colOff>
          <xdr:row>16</xdr:row>
          <xdr:rowOff>180975</xdr:rowOff>
        </xdr:from>
        <xdr:to>
          <xdr:col>1</xdr:col>
          <xdr:colOff>557213</xdr:colOff>
          <xdr:row>18</xdr:row>
          <xdr:rowOff>76200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252413</xdr:colOff>
          <xdr:row>25</xdr:row>
          <xdr:rowOff>176213</xdr:rowOff>
        </xdr:from>
        <xdr:to>
          <xdr:col>1</xdr:col>
          <xdr:colOff>557213</xdr:colOff>
          <xdr:row>27</xdr:row>
          <xdr:rowOff>66675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252413</xdr:colOff>
          <xdr:row>34</xdr:row>
          <xdr:rowOff>176213</xdr:rowOff>
        </xdr:from>
        <xdr:to>
          <xdr:col>1</xdr:col>
          <xdr:colOff>557213</xdr:colOff>
          <xdr:row>36</xdr:row>
          <xdr:rowOff>61913</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252413</xdr:colOff>
          <xdr:row>43</xdr:row>
          <xdr:rowOff>180975</xdr:rowOff>
        </xdr:from>
        <xdr:to>
          <xdr:col>1</xdr:col>
          <xdr:colOff>557213</xdr:colOff>
          <xdr:row>45</xdr:row>
          <xdr:rowOff>76200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252413</xdr:colOff>
          <xdr:row>52</xdr:row>
          <xdr:rowOff>176213</xdr:rowOff>
        </xdr:from>
        <xdr:to>
          <xdr:col>1</xdr:col>
          <xdr:colOff>557213</xdr:colOff>
          <xdr:row>54</xdr:row>
          <xdr:rowOff>61913</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252413</xdr:colOff>
          <xdr:row>61</xdr:row>
          <xdr:rowOff>152400</xdr:rowOff>
        </xdr:from>
        <xdr:to>
          <xdr:col>1</xdr:col>
          <xdr:colOff>557213</xdr:colOff>
          <xdr:row>63</xdr:row>
          <xdr:rowOff>47625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252413</xdr:colOff>
          <xdr:row>70</xdr:row>
          <xdr:rowOff>176213</xdr:rowOff>
        </xdr:from>
        <xdr:to>
          <xdr:col>1</xdr:col>
          <xdr:colOff>557213</xdr:colOff>
          <xdr:row>72</xdr:row>
          <xdr:rowOff>66675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252413</xdr:colOff>
          <xdr:row>79</xdr:row>
          <xdr:rowOff>190500</xdr:rowOff>
        </xdr:from>
        <xdr:to>
          <xdr:col>1</xdr:col>
          <xdr:colOff>557213</xdr:colOff>
          <xdr:row>81</xdr:row>
          <xdr:rowOff>85725</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252413</xdr:colOff>
          <xdr:row>88</xdr:row>
          <xdr:rowOff>190500</xdr:rowOff>
        </xdr:from>
        <xdr:to>
          <xdr:col>1</xdr:col>
          <xdr:colOff>557213</xdr:colOff>
          <xdr:row>90</xdr:row>
          <xdr:rowOff>85725</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252413</xdr:colOff>
          <xdr:row>97</xdr:row>
          <xdr:rowOff>176213</xdr:rowOff>
        </xdr:from>
        <xdr:to>
          <xdr:col>1</xdr:col>
          <xdr:colOff>557213</xdr:colOff>
          <xdr:row>99</xdr:row>
          <xdr:rowOff>61913</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252413</xdr:colOff>
          <xdr:row>106</xdr:row>
          <xdr:rowOff>190500</xdr:rowOff>
        </xdr:from>
        <xdr:to>
          <xdr:col>1</xdr:col>
          <xdr:colOff>557213</xdr:colOff>
          <xdr:row>108</xdr:row>
          <xdr:rowOff>85725</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6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523875</xdr:colOff>
      <xdr:row>0</xdr:row>
      <xdr:rowOff>95250</xdr:rowOff>
    </xdr:from>
    <xdr:to>
      <xdr:col>18</xdr:col>
      <xdr:colOff>297180</xdr:colOff>
      <xdr:row>5</xdr:row>
      <xdr:rowOff>152400</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523875" y="95250"/>
          <a:ext cx="10883265" cy="84201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523875</xdr:colOff>
      <xdr:row>11</xdr:row>
      <xdr:rowOff>76201</xdr:rowOff>
    </xdr:from>
    <xdr:to>
      <xdr:col>18</xdr:col>
      <xdr:colOff>274320</xdr:colOff>
      <xdr:row>18</xdr:row>
      <xdr:rowOff>123826</xdr:rowOff>
    </xdr:to>
    <xdr:sp macro="" textlink="">
      <xdr:nvSpPr>
        <xdr:cNvPr id="3" name="角丸四角形 2">
          <a:extLst>
            <a:ext uri="{FF2B5EF4-FFF2-40B4-BE49-F238E27FC236}">
              <a16:creationId xmlns:a16="http://schemas.microsoft.com/office/drawing/2014/main" id="{00000000-0008-0000-0900-000003000000}"/>
            </a:ext>
          </a:extLst>
        </xdr:cNvPr>
        <xdr:cNvSpPr/>
      </xdr:nvSpPr>
      <xdr:spPr>
        <a:xfrm>
          <a:off x="523875" y="1866901"/>
          <a:ext cx="10860405" cy="125158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133350</xdr:colOff>
      <xdr:row>6</xdr:row>
      <xdr:rowOff>57150</xdr:rowOff>
    </xdr:from>
    <xdr:to>
      <xdr:col>10</xdr:col>
      <xdr:colOff>85725</xdr:colOff>
      <xdr:row>10</xdr:row>
      <xdr:rowOff>133350</xdr:rowOff>
    </xdr:to>
    <xdr:sp macro="" textlink="">
      <xdr:nvSpPr>
        <xdr:cNvPr id="4" name="下矢印 3">
          <a:extLst>
            <a:ext uri="{FF2B5EF4-FFF2-40B4-BE49-F238E27FC236}">
              <a16:creationId xmlns:a16="http://schemas.microsoft.com/office/drawing/2014/main" id="{00000000-0008-0000-0900-000004000000}"/>
            </a:ext>
          </a:extLst>
        </xdr:cNvPr>
        <xdr:cNvSpPr/>
      </xdr:nvSpPr>
      <xdr:spPr>
        <a:xfrm>
          <a:off x="5619750" y="1038225"/>
          <a:ext cx="1323975" cy="762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133350</xdr:colOff>
      <xdr:row>19</xdr:row>
      <xdr:rowOff>28575</xdr:rowOff>
    </xdr:from>
    <xdr:to>
      <xdr:col>10</xdr:col>
      <xdr:colOff>85725</xdr:colOff>
      <xdr:row>23</xdr:row>
      <xdr:rowOff>104775</xdr:rowOff>
    </xdr:to>
    <xdr:sp macro="" textlink="">
      <xdr:nvSpPr>
        <xdr:cNvPr id="7" name="下矢印 6">
          <a:extLst>
            <a:ext uri="{FF2B5EF4-FFF2-40B4-BE49-F238E27FC236}">
              <a16:creationId xmlns:a16="http://schemas.microsoft.com/office/drawing/2014/main" id="{00000000-0008-0000-0900-000007000000}"/>
            </a:ext>
          </a:extLst>
        </xdr:cNvPr>
        <xdr:cNvSpPr/>
      </xdr:nvSpPr>
      <xdr:spPr>
        <a:xfrm>
          <a:off x="5619750" y="3286125"/>
          <a:ext cx="1323975" cy="7620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0</xdr:col>
      <xdr:colOff>523875</xdr:colOff>
      <xdr:row>23</xdr:row>
      <xdr:rowOff>133351</xdr:rowOff>
    </xdr:from>
    <xdr:to>
      <xdr:col>18</xdr:col>
      <xdr:colOff>243840</xdr:colOff>
      <xdr:row>29</xdr:row>
      <xdr:rowOff>104776</xdr:rowOff>
    </xdr:to>
    <xdr:sp macro="" textlink="">
      <xdr:nvSpPr>
        <xdr:cNvPr id="8" name="角丸四角形 7">
          <a:extLst>
            <a:ext uri="{FF2B5EF4-FFF2-40B4-BE49-F238E27FC236}">
              <a16:creationId xmlns:a16="http://schemas.microsoft.com/office/drawing/2014/main" id="{00000000-0008-0000-0900-000008000000}"/>
            </a:ext>
          </a:extLst>
        </xdr:cNvPr>
        <xdr:cNvSpPr/>
      </xdr:nvSpPr>
      <xdr:spPr>
        <a:xfrm>
          <a:off x="523875" y="3966211"/>
          <a:ext cx="10829925" cy="102298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56704</xdr:colOff>
      <xdr:row>2</xdr:row>
      <xdr:rowOff>14669</xdr:rowOff>
    </xdr:from>
    <xdr:to>
      <xdr:col>10</xdr:col>
      <xdr:colOff>646596</xdr:colOff>
      <xdr:row>64</xdr:row>
      <xdr:rowOff>151129</xdr:rowOff>
    </xdr:to>
    <xdr:pic>
      <xdr:nvPicPr>
        <xdr:cNvPr id="3073" name="Picture 1">
          <a:extLst>
            <a:ext uri="{FF2B5EF4-FFF2-40B4-BE49-F238E27FC236}">
              <a16:creationId xmlns:a16="http://schemas.microsoft.com/office/drawing/2014/main" id="{00000000-0008-0000-0A00-0000010C0000}"/>
            </a:ext>
          </a:extLst>
        </xdr:cNvPr>
        <xdr:cNvPicPr>
          <a:picLocks noChangeArrowheads="1"/>
        </xdr:cNvPicPr>
      </xdr:nvPicPr>
      <xdr:blipFill>
        <a:blip xmlns:r="http://schemas.openxmlformats.org/officeDocument/2006/relationships" r:embed="rId1" cstate="print"/>
        <a:srcRect/>
        <a:stretch>
          <a:fillRect/>
        </a:stretch>
      </xdr:blipFill>
      <xdr:spPr bwMode="auto">
        <a:xfrm>
          <a:off x="56704" y="362539"/>
          <a:ext cx="7464457" cy="10920416"/>
        </a:xfrm>
        <a:prstGeom prst="rect">
          <a:avLst/>
        </a:prstGeom>
        <a:noFill/>
        <a:ln w="1">
          <a:noFill/>
          <a:miter lim="800000"/>
          <a:headEnd/>
          <a:tailEnd type="none" w="med" len="med"/>
        </a:ln>
        <a:effectLst/>
      </xdr:spPr>
    </xdr:pic>
    <xdr:clientData/>
  </xdr:twoCellAnchor>
  <xdr:twoCellAnchor editAs="oneCell">
    <xdr:from>
      <xdr:col>0</xdr:col>
      <xdr:colOff>273845</xdr:colOff>
      <xdr:row>25</xdr:row>
      <xdr:rowOff>172639</xdr:rowOff>
    </xdr:from>
    <xdr:to>
      <xdr:col>10</xdr:col>
      <xdr:colOff>601265</xdr:colOff>
      <xdr:row>28</xdr:row>
      <xdr:rowOff>95839</xdr:rowOff>
    </xdr:to>
    <xdr:pic>
      <xdr:nvPicPr>
        <xdr:cNvPr id="348" name="図 347">
          <a:extLst>
            <a:ext uri="{FF2B5EF4-FFF2-40B4-BE49-F238E27FC236}">
              <a16:creationId xmlns:a16="http://schemas.microsoft.com/office/drawing/2014/main" id="{00000000-0008-0000-0A00-00005C010000}"/>
            </a:ext>
          </a:extLst>
        </xdr:cNvPr>
        <xdr:cNvPicPr>
          <a:picLocks noChangeAspect="1"/>
        </xdr:cNvPicPr>
      </xdr:nvPicPr>
      <xdr:blipFill rotWithShape="1">
        <a:blip xmlns:r="http://schemas.openxmlformats.org/officeDocument/2006/relationships" r:embed="rId2"/>
        <a:srcRect l="5573" t="67452" r="9156" b="23318"/>
        <a:stretch/>
      </xdr:blipFill>
      <xdr:spPr>
        <a:xfrm>
          <a:off x="273845" y="4488655"/>
          <a:ext cx="7173514" cy="441122"/>
        </a:xfrm>
        <a:prstGeom prst="rect">
          <a:avLst/>
        </a:prstGeom>
      </xdr:spPr>
    </xdr:pic>
    <xdr:clientData/>
  </xdr:twoCellAnchor>
  <xdr:twoCellAnchor editAs="oneCell">
    <xdr:from>
      <xdr:col>0</xdr:col>
      <xdr:colOff>342900</xdr:colOff>
      <xdr:row>18</xdr:row>
      <xdr:rowOff>61546</xdr:rowOff>
    </xdr:from>
    <xdr:to>
      <xdr:col>4</xdr:col>
      <xdr:colOff>466725</xdr:colOff>
      <xdr:row>20</xdr:row>
      <xdr:rowOff>57150</xdr:rowOff>
    </xdr:to>
    <xdr:pic>
      <xdr:nvPicPr>
        <xdr:cNvPr id="380" name="図 379">
          <a:extLst>
            <a:ext uri="{FF2B5EF4-FFF2-40B4-BE49-F238E27FC236}">
              <a16:creationId xmlns:a16="http://schemas.microsoft.com/office/drawing/2014/main" id="{00000000-0008-0000-0A00-00007C01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0" y="3147646"/>
          <a:ext cx="2867025" cy="338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200025</xdr:colOff>
      <xdr:row>10</xdr:row>
      <xdr:rowOff>25646</xdr:rowOff>
    </xdr:from>
    <xdr:to>
      <xdr:col>3</xdr:col>
      <xdr:colOff>2928</xdr:colOff>
      <xdr:row>12</xdr:row>
      <xdr:rowOff>29308</xdr:rowOff>
    </xdr:to>
    <xdr:sp macro="" textlink="基本情報!B3">
      <xdr:nvSpPr>
        <xdr:cNvPr id="4" name="テキスト ボックス 3">
          <a:extLst>
            <a:ext uri="{FF2B5EF4-FFF2-40B4-BE49-F238E27FC236}">
              <a16:creationId xmlns:a16="http://schemas.microsoft.com/office/drawing/2014/main" id="{00000000-0008-0000-0A00-000004000000}"/>
            </a:ext>
          </a:extLst>
        </xdr:cNvPr>
        <xdr:cNvSpPr txBox="1"/>
      </xdr:nvSpPr>
      <xdr:spPr>
        <a:xfrm>
          <a:off x="885825" y="1740146"/>
          <a:ext cx="1174503" cy="3465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fld id="{9BD830DE-3FE4-44E9-B478-5221604B10CE}" type="TxLink">
            <a:rPr kumimoji="1" lang="ja-JP" altLang="en-US" sz="1000" b="0" i="0" u="none" strike="noStrike">
              <a:solidFill>
                <a:srgbClr val="000000"/>
              </a:solidFill>
              <a:latin typeface="ＭＳ Ｐゴシック"/>
              <a:ea typeface="ＭＳ Ｐゴシック"/>
            </a:rPr>
            <a:pPr/>
            <a:t> </a:t>
          </a:fld>
          <a:endParaRPr kumimoji="1" lang="ja-JP" altLang="en-US" sz="1000"/>
        </a:p>
      </xdr:txBody>
    </xdr:sp>
    <xdr:clientData/>
  </xdr:twoCellAnchor>
  <xdr:twoCellAnchor>
    <xdr:from>
      <xdr:col>3</xdr:col>
      <xdr:colOff>147841</xdr:colOff>
      <xdr:row>6</xdr:row>
      <xdr:rowOff>88900</xdr:rowOff>
    </xdr:from>
    <xdr:to>
      <xdr:col>4</xdr:col>
      <xdr:colOff>96903</xdr:colOff>
      <xdr:row>7</xdr:row>
      <xdr:rowOff>158750</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1976641" y="1089025"/>
          <a:ext cx="558662"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r>
            <a:rPr kumimoji="1" lang="en-US" altLang="en-US" sz="1200" b="0" i="0" u="none" strike="noStrike" spc="910" baseline="0">
              <a:solidFill>
                <a:srgbClr val="000000"/>
              </a:solidFill>
              <a:latin typeface="OCRB" pitchFamily="49" charset="0"/>
              <a:ea typeface="ＭＳ Ｐゴシック"/>
            </a:rPr>
            <a:t>023</a:t>
          </a:r>
        </a:p>
      </xdr:txBody>
    </xdr:sp>
    <xdr:clientData/>
  </xdr:twoCellAnchor>
  <xdr:twoCellAnchor>
    <xdr:from>
      <xdr:col>6</xdr:col>
      <xdr:colOff>45145</xdr:colOff>
      <xdr:row>6</xdr:row>
      <xdr:rowOff>93662</xdr:rowOff>
    </xdr:from>
    <xdr:to>
      <xdr:col>7</xdr:col>
      <xdr:colOff>26756</xdr:colOff>
      <xdr:row>8</xdr:row>
      <xdr:rowOff>4390</xdr:rowOff>
    </xdr:to>
    <xdr:sp macro="" textlink="計算シート!Q2">
      <xdr:nvSpPr>
        <xdr:cNvPr id="7" name="テキスト ボックス 6">
          <a:extLst>
            <a:ext uri="{FF2B5EF4-FFF2-40B4-BE49-F238E27FC236}">
              <a16:creationId xmlns:a16="http://schemas.microsoft.com/office/drawing/2014/main" id="{00000000-0008-0000-0A00-000007000000}"/>
            </a:ext>
          </a:extLst>
        </xdr:cNvPr>
        <xdr:cNvSpPr txBox="1"/>
      </xdr:nvSpPr>
      <xdr:spPr>
        <a:xfrm>
          <a:off x="3702745" y="1093787"/>
          <a:ext cx="591211" cy="2441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200" b="0" i="0" u="none" strike="noStrike" spc="910" baseline="0">
              <a:solidFill>
                <a:srgbClr val="000000"/>
              </a:solidFill>
              <a:latin typeface="OCRB" pitchFamily="49" charset="0"/>
              <a:ea typeface="ＭＳ Ｐゴシック"/>
            </a:rPr>
            <a:pPr/>
            <a:t>000</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3</xdr:col>
      <xdr:colOff>76200</xdr:colOff>
      <xdr:row>10</xdr:row>
      <xdr:rowOff>47626</xdr:rowOff>
    </xdr:from>
    <xdr:to>
      <xdr:col>3</xdr:col>
      <xdr:colOff>295275</xdr:colOff>
      <xdr:row>11</xdr:row>
      <xdr:rowOff>133350</xdr:rowOff>
    </xdr:to>
    <xdr:sp macro="" textlink="計算シート!B41">
      <xdr:nvSpPr>
        <xdr:cNvPr id="8" name="テキスト ボックス 7">
          <a:extLst>
            <a:ext uri="{FF2B5EF4-FFF2-40B4-BE49-F238E27FC236}">
              <a16:creationId xmlns:a16="http://schemas.microsoft.com/office/drawing/2014/main" id="{00000000-0008-0000-0A00-000008000000}"/>
            </a:ext>
          </a:extLst>
        </xdr:cNvPr>
        <xdr:cNvSpPr txBox="1"/>
      </xdr:nvSpPr>
      <xdr:spPr>
        <a:xfrm>
          <a:off x="2147888" y="1714501"/>
          <a:ext cx="219075"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252FE0D-B754-4D7D-BD61-35E7D3B4920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486892</xdr:colOff>
      <xdr:row>10</xdr:row>
      <xdr:rowOff>47626</xdr:rowOff>
    </xdr:from>
    <xdr:to>
      <xdr:col>4</xdr:col>
      <xdr:colOff>22794</xdr:colOff>
      <xdr:row>11</xdr:row>
      <xdr:rowOff>133350</xdr:rowOff>
    </xdr:to>
    <xdr:sp macro="" textlink="計算シート!C41">
      <xdr:nvSpPr>
        <xdr:cNvPr id="9" name="テキスト ボックス 8">
          <a:extLst>
            <a:ext uri="{FF2B5EF4-FFF2-40B4-BE49-F238E27FC236}">
              <a16:creationId xmlns:a16="http://schemas.microsoft.com/office/drawing/2014/main" id="{00000000-0008-0000-0A00-000009000000}"/>
            </a:ext>
          </a:extLst>
        </xdr:cNvPr>
        <xdr:cNvSpPr txBox="1"/>
      </xdr:nvSpPr>
      <xdr:spPr>
        <a:xfrm>
          <a:off x="2315692" y="1724026"/>
          <a:ext cx="145502" cy="253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404C537-BD7B-4904-AD0E-3423991A357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463769</xdr:colOff>
      <xdr:row>10</xdr:row>
      <xdr:rowOff>41057</xdr:rowOff>
    </xdr:from>
    <xdr:to>
      <xdr:col>4</xdr:col>
      <xdr:colOff>682844</xdr:colOff>
      <xdr:row>11</xdr:row>
      <xdr:rowOff>126781</xdr:rowOff>
    </xdr:to>
    <xdr:sp macro="" textlink="計算シート!B42" fLocksText="0">
      <xdr:nvSpPr>
        <xdr:cNvPr id="10" name="テキスト ボックス 9">
          <a:extLst>
            <a:ext uri="{FF2B5EF4-FFF2-40B4-BE49-F238E27FC236}">
              <a16:creationId xmlns:a16="http://schemas.microsoft.com/office/drawing/2014/main" id="{00000000-0008-0000-0A00-00000A000000}"/>
            </a:ext>
          </a:extLst>
        </xdr:cNvPr>
        <xdr:cNvSpPr txBox="1"/>
      </xdr:nvSpPr>
      <xdr:spPr>
        <a:xfrm>
          <a:off x="3226019" y="1707932"/>
          <a:ext cx="219075"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4C4464-4CEC-43DB-AFFB-546F25CB61E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fLocksWithSheet="0"/>
  </xdr:twoCellAnchor>
  <xdr:twoCellAnchor>
    <xdr:from>
      <xdr:col>5</xdr:col>
      <xdr:colOff>192340</xdr:colOff>
      <xdr:row>10</xdr:row>
      <xdr:rowOff>47626</xdr:rowOff>
    </xdr:from>
    <xdr:to>
      <xdr:col>5</xdr:col>
      <xdr:colOff>411415</xdr:colOff>
      <xdr:row>11</xdr:row>
      <xdr:rowOff>133350</xdr:rowOff>
    </xdr:to>
    <xdr:sp macro="" textlink="計算シート!C42">
      <xdr:nvSpPr>
        <xdr:cNvPr id="11" name="テキスト ボックス 10">
          <a:extLst>
            <a:ext uri="{FF2B5EF4-FFF2-40B4-BE49-F238E27FC236}">
              <a16:creationId xmlns:a16="http://schemas.microsoft.com/office/drawing/2014/main" id="{00000000-0008-0000-0A00-00000B000000}"/>
            </a:ext>
          </a:extLst>
        </xdr:cNvPr>
        <xdr:cNvSpPr txBox="1"/>
      </xdr:nvSpPr>
      <xdr:spPr>
        <a:xfrm>
          <a:off x="3240340" y="1724026"/>
          <a:ext cx="219075" cy="253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E5BC51A-464C-4D01-8551-98903F1F612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5</xdr:col>
      <xdr:colOff>588842</xdr:colOff>
      <xdr:row>10</xdr:row>
      <xdr:rowOff>47626</xdr:rowOff>
    </xdr:from>
    <xdr:to>
      <xdr:col>6</xdr:col>
      <xdr:colOff>147605</xdr:colOff>
      <xdr:row>11</xdr:row>
      <xdr:rowOff>133350</xdr:rowOff>
    </xdr:to>
    <xdr:sp macro="" textlink="計算シート!D42">
      <xdr:nvSpPr>
        <xdr:cNvPr id="12" name="テキスト ボックス 11">
          <a:extLst>
            <a:ext uri="{FF2B5EF4-FFF2-40B4-BE49-F238E27FC236}">
              <a16:creationId xmlns:a16="http://schemas.microsoft.com/office/drawing/2014/main" id="{00000000-0008-0000-0A00-00000C000000}"/>
            </a:ext>
          </a:extLst>
        </xdr:cNvPr>
        <xdr:cNvSpPr txBox="1"/>
      </xdr:nvSpPr>
      <xdr:spPr>
        <a:xfrm>
          <a:off x="3636842" y="1724026"/>
          <a:ext cx="168363" cy="253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5D8725B-B490-4C6F-873E-2B5B6DAEE93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396679</xdr:colOff>
      <xdr:row>10</xdr:row>
      <xdr:rowOff>44938</xdr:rowOff>
    </xdr:from>
    <xdr:to>
      <xdr:col>7</xdr:col>
      <xdr:colOff>138040</xdr:colOff>
      <xdr:row>11</xdr:row>
      <xdr:rowOff>114788</xdr:rowOff>
    </xdr:to>
    <xdr:sp macro="" textlink="基本情報!D5">
      <xdr:nvSpPr>
        <xdr:cNvPr id="15" name="テキスト ボックス 14">
          <a:extLst>
            <a:ext uri="{FF2B5EF4-FFF2-40B4-BE49-F238E27FC236}">
              <a16:creationId xmlns:a16="http://schemas.microsoft.com/office/drawing/2014/main" id="{00000000-0008-0000-0A00-00000F000000}"/>
            </a:ext>
          </a:extLst>
        </xdr:cNvPr>
        <xdr:cNvSpPr txBox="1"/>
      </xdr:nvSpPr>
      <xdr:spPr>
        <a:xfrm>
          <a:off x="4511479" y="1759438"/>
          <a:ext cx="427161"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3B266C5E-153E-4C70-B9C1-EE5B74234449}"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7</xdr:col>
      <xdr:colOff>367665</xdr:colOff>
      <xdr:row>10</xdr:row>
      <xdr:rowOff>44938</xdr:rowOff>
    </xdr:from>
    <xdr:to>
      <xdr:col>8</xdr:col>
      <xdr:colOff>109025</xdr:colOff>
      <xdr:row>11</xdr:row>
      <xdr:rowOff>114788</xdr:rowOff>
    </xdr:to>
    <xdr:sp macro="" textlink="基本情報!F5">
      <xdr:nvSpPr>
        <xdr:cNvPr id="16" name="テキスト ボックス 15">
          <a:extLst>
            <a:ext uri="{FF2B5EF4-FFF2-40B4-BE49-F238E27FC236}">
              <a16:creationId xmlns:a16="http://schemas.microsoft.com/office/drawing/2014/main" id="{00000000-0008-0000-0A00-000010000000}"/>
            </a:ext>
          </a:extLst>
        </xdr:cNvPr>
        <xdr:cNvSpPr txBox="1"/>
      </xdr:nvSpPr>
      <xdr:spPr>
        <a:xfrm>
          <a:off x="5168265" y="1759438"/>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140068F-376D-44F0-AA6A-01990EA37A80}"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8</xdr:col>
      <xdr:colOff>325902</xdr:colOff>
      <xdr:row>10</xdr:row>
      <xdr:rowOff>44938</xdr:rowOff>
    </xdr:from>
    <xdr:to>
      <xdr:col>9</xdr:col>
      <xdr:colOff>67262</xdr:colOff>
      <xdr:row>11</xdr:row>
      <xdr:rowOff>114788</xdr:rowOff>
    </xdr:to>
    <xdr:sp macro="" textlink="基本情報!H5">
      <xdr:nvSpPr>
        <xdr:cNvPr id="17" name="テキスト ボックス 16">
          <a:extLst>
            <a:ext uri="{FF2B5EF4-FFF2-40B4-BE49-F238E27FC236}">
              <a16:creationId xmlns:a16="http://schemas.microsoft.com/office/drawing/2014/main" id="{00000000-0008-0000-0A00-000011000000}"/>
            </a:ext>
          </a:extLst>
        </xdr:cNvPr>
        <xdr:cNvSpPr txBox="1"/>
      </xdr:nvSpPr>
      <xdr:spPr>
        <a:xfrm>
          <a:off x="5812302" y="1759438"/>
          <a:ext cx="427160" cy="241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D341445-1581-4F53-9E1B-26FA8C352903}" type="TxLink">
            <a:rPr kumimoji="1" lang="en-US" altLang="en-US" sz="1050" b="0" i="0" u="none" strike="noStrike" spc="910" baseline="0">
              <a:solidFill>
                <a:srgbClr val="000000"/>
              </a:solidFill>
              <a:latin typeface="OCRB" pitchFamily="49" charset="0"/>
              <a:ea typeface="ＭＳ Ｐゴシック"/>
            </a:rPr>
            <a:pP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9</xdr:col>
      <xdr:colOff>449141</xdr:colOff>
      <xdr:row>10</xdr:row>
      <xdr:rowOff>96227</xdr:rowOff>
    </xdr:from>
    <xdr:to>
      <xdr:col>10</xdr:col>
      <xdr:colOff>190501</xdr:colOff>
      <xdr:row>11</xdr:row>
      <xdr:rowOff>166077</xdr:rowOff>
    </xdr:to>
    <xdr:sp macro="" textlink="">
      <xdr:nvSpPr>
        <xdr:cNvPr id="18" name="テキスト ボックス 17">
          <a:extLst>
            <a:ext uri="{FF2B5EF4-FFF2-40B4-BE49-F238E27FC236}">
              <a16:creationId xmlns:a16="http://schemas.microsoft.com/office/drawing/2014/main" id="{00000000-0008-0000-0A00-000012000000}"/>
            </a:ext>
          </a:extLst>
        </xdr:cNvPr>
        <xdr:cNvSpPr txBox="1"/>
      </xdr:nvSpPr>
      <xdr:spPr>
        <a:xfrm>
          <a:off x="6664204" y="1763102"/>
          <a:ext cx="431922"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endParaRPr kumimoji="1" lang="en-US" altLang="en-US" sz="900" b="0" i="0" u="none" strike="noStrike" spc="0" baseline="0">
            <a:solidFill>
              <a:srgbClr val="000000"/>
            </a:solidFill>
            <a:latin typeface="ＭＳ Ｐゴシック"/>
            <a:ea typeface="ＭＳ Ｐゴシック"/>
          </a:endParaRPr>
        </a:p>
      </xdr:txBody>
    </xdr:sp>
    <xdr:clientData/>
  </xdr:twoCellAnchor>
  <xdr:twoCellAnchor>
    <xdr:from>
      <xdr:col>1</xdr:col>
      <xdr:colOff>87922</xdr:colOff>
      <xdr:row>15</xdr:row>
      <xdr:rowOff>21982</xdr:rowOff>
    </xdr:from>
    <xdr:to>
      <xdr:col>3</xdr:col>
      <xdr:colOff>7327</xdr:colOff>
      <xdr:row>17</xdr:row>
      <xdr:rowOff>36635</xdr:rowOff>
    </xdr:to>
    <xdr:sp macro="" textlink="基本情報!B1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778485" y="2522295"/>
          <a:ext cx="1300530" cy="348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62E38415-8153-4DA3-9A81-298CF2D2AF98}" type="TxLink">
            <a:rPr kumimoji="1" lang="ja-JP" altLang="en-US" sz="900" b="0" i="0" u="none" strike="noStrike">
              <a:solidFill>
                <a:srgbClr val="000000"/>
              </a:solidFill>
              <a:latin typeface="ＭＳ Ｐゴシック"/>
              <a:ea typeface="ＭＳ Ｐゴシック"/>
            </a:rPr>
            <a:pPr/>
            <a:t> </a:t>
          </a:fld>
          <a:endParaRPr kumimoji="1" lang="ja-JP" altLang="en-US" sz="900" b="0" i="0" u="none" strike="noStrike">
            <a:solidFill>
              <a:srgbClr val="000000"/>
            </a:solidFill>
            <a:latin typeface="ＭＳ Ｐゴシック"/>
            <a:ea typeface="ＭＳ Ｐゴシック"/>
          </a:endParaRPr>
        </a:p>
      </xdr:txBody>
    </xdr:sp>
    <xdr:clientData/>
  </xdr:twoCellAnchor>
  <xdr:twoCellAnchor>
    <xdr:from>
      <xdr:col>8</xdr:col>
      <xdr:colOff>561474</xdr:colOff>
      <xdr:row>14</xdr:row>
      <xdr:rowOff>123825</xdr:rowOff>
    </xdr:from>
    <xdr:to>
      <xdr:col>10</xdr:col>
      <xdr:colOff>526382</xdr:colOff>
      <xdr:row>17</xdr:row>
      <xdr:rowOff>0</xdr:rowOff>
    </xdr:to>
    <xdr:sp macro="" textlink="基本情報!B13">
      <xdr:nvSpPr>
        <xdr:cNvPr id="22" name="テキスト ボックス 21">
          <a:extLst>
            <a:ext uri="{FF2B5EF4-FFF2-40B4-BE49-F238E27FC236}">
              <a16:creationId xmlns:a16="http://schemas.microsoft.com/office/drawing/2014/main" id="{00000000-0008-0000-0A00-000016000000}"/>
            </a:ext>
          </a:extLst>
        </xdr:cNvPr>
        <xdr:cNvSpPr txBox="1"/>
      </xdr:nvSpPr>
      <xdr:spPr>
        <a:xfrm>
          <a:off x="6061126" y="2558912"/>
          <a:ext cx="1339821" cy="39797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BAC69383-84EC-4E36-8830-D7ADF517FC81}"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900" b="0" i="0" u="none" strike="noStrike" spc="0" baseline="0">
            <a:solidFill>
              <a:sysClr val="windowText" lastClr="000000"/>
            </a:solidFill>
            <a:latin typeface="ＭＳ Ｐゴシック"/>
            <a:ea typeface="ＭＳ Ｐゴシック"/>
          </a:endParaRPr>
        </a:p>
      </xdr:txBody>
    </xdr:sp>
    <xdr:clientData/>
  </xdr:twoCellAnchor>
  <xdr:twoCellAnchor>
    <xdr:from>
      <xdr:col>4</xdr:col>
      <xdr:colOff>277755</xdr:colOff>
      <xdr:row>12</xdr:row>
      <xdr:rowOff>13060</xdr:rowOff>
    </xdr:from>
    <xdr:to>
      <xdr:col>6</xdr:col>
      <xdr:colOff>231593</xdr:colOff>
      <xdr:row>13</xdr:row>
      <xdr:rowOff>17945</xdr:rowOff>
    </xdr:to>
    <xdr:sp macro="" textlink="基本情報!B7">
      <xdr:nvSpPr>
        <xdr:cNvPr id="23" name="テキスト ボックス 22">
          <a:extLst>
            <a:ext uri="{FF2B5EF4-FFF2-40B4-BE49-F238E27FC236}">
              <a16:creationId xmlns:a16="http://schemas.microsoft.com/office/drawing/2014/main" id="{00000000-0008-0000-0A00-000017000000}"/>
            </a:ext>
          </a:extLst>
        </xdr:cNvPr>
        <xdr:cNvSpPr txBox="1"/>
      </xdr:nvSpPr>
      <xdr:spPr>
        <a:xfrm>
          <a:off x="3027581" y="2100277"/>
          <a:ext cx="1328751" cy="178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l"/>
          <a:fld id="{F07DE5D2-B6CA-4757-887C-99783423EEA5}" type="TxLink">
            <a:rPr kumimoji="1" lang="en-US" altLang="en-US" sz="900" b="0" i="0" u="none" strike="noStrike" spc="0" baseline="0">
              <a:solidFill>
                <a:srgbClr val="000000"/>
              </a:solidFill>
              <a:latin typeface="ＭＳ Ｐゴシック"/>
              <a:ea typeface="ＭＳ Ｐゴシック"/>
            </a:rPr>
            <a:pPr algn="l"/>
            <a:t> </a:t>
          </a:fld>
          <a:endParaRPr kumimoji="1" lang="en-US" altLang="en-US" sz="900" b="0" i="0" u="none" strike="noStrike" spc="0" baseline="0">
            <a:solidFill>
              <a:srgbClr val="000000"/>
            </a:solidFill>
            <a:latin typeface="ＭＳ Ｐゴシック"/>
            <a:ea typeface="ＭＳ Ｐゴシック"/>
          </a:endParaRPr>
        </a:p>
      </xdr:txBody>
    </xdr:sp>
    <xdr:clientData/>
  </xdr:twoCellAnchor>
  <xdr:twoCellAnchor>
    <xdr:from>
      <xdr:col>4</xdr:col>
      <xdr:colOff>293077</xdr:colOff>
      <xdr:row>13</xdr:row>
      <xdr:rowOff>113568</xdr:rowOff>
    </xdr:from>
    <xdr:to>
      <xdr:col>8</xdr:col>
      <xdr:colOff>190500</xdr:colOff>
      <xdr:row>14</xdr:row>
      <xdr:rowOff>102578</xdr:rowOff>
    </xdr:to>
    <xdr:sp macro="" textlink="">
      <xdr:nvSpPr>
        <xdr:cNvPr id="25" name="テキスト ボックス 24">
          <a:extLst>
            <a:ext uri="{FF2B5EF4-FFF2-40B4-BE49-F238E27FC236}">
              <a16:creationId xmlns:a16="http://schemas.microsoft.com/office/drawing/2014/main" id="{00000000-0008-0000-0A00-000019000000}"/>
            </a:ext>
          </a:extLst>
        </xdr:cNvPr>
        <xdr:cNvSpPr txBox="1"/>
      </xdr:nvSpPr>
      <xdr:spPr>
        <a:xfrm>
          <a:off x="3055327" y="2280506"/>
          <a:ext cx="2659673" cy="155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endParaRPr kumimoji="1" lang="ja-JP" altLang="en-US" sz="900" b="0" i="0" u="none" strike="noStrike">
            <a:solidFill>
              <a:srgbClr val="000000"/>
            </a:solidFill>
            <a:latin typeface="ＭＳ Ｐゴシック"/>
            <a:ea typeface="ＭＳ Ｐゴシック"/>
          </a:endParaRPr>
        </a:p>
      </xdr:txBody>
    </xdr:sp>
    <xdr:clientData/>
  </xdr:twoCellAnchor>
  <xdr:twoCellAnchor>
    <xdr:from>
      <xdr:col>4</xdr:col>
      <xdr:colOff>286038</xdr:colOff>
      <xdr:row>14</xdr:row>
      <xdr:rowOff>109265</xdr:rowOff>
    </xdr:from>
    <xdr:to>
      <xdr:col>6</xdr:col>
      <xdr:colOff>239876</xdr:colOff>
      <xdr:row>15</xdr:row>
      <xdr:rowOff>114151</xdr:rowOff>
    </xdr:to>
    <xdr:sp macro="" textlink="基本情報!B12">
      <xdr:nvSpPr>
        <xdr:cNvPr id="26" name="テキスト ボックス 25">
          <a:extLst>
            <a:ext uri="{FF2B5EF4-FFF2-40B4-BE49-F238E27FC236}">
              <a16:creationId xmlns:a16="http://schemas.microsoft.com/office/drawing/2014/main" id="{00000000-0008-0000-0A00-00001A000000}"/>
            </a:ext>
          </a:extLst>
        </xdr:cNvPr>
        <xdr:cNvSpPr txBox="1"/>
      </xdr:nvSpPr>
      <xdr:spPr>
        <a:xfrm>
          <a:off x="3035864" y="2544352"/>
          <a:ext cx="1328751" cy="178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l"/>
          <a:fld id="{FAF57E33-BDDB-48CE-B7E8-ABF781CF063B}" type="TxLink">
            <a:rPr kumimoji="1" lang="en-US" altLang="en-US" sz="900" b="0" i="0" u="none" strike="noStrike" spc="0" baseline="0">
              <a:solidFill>
                <a:srgbClr val="000000"/>
              </a:solidFill>
              <a:latin typeface="ＭＳ Ｐゴシック"/>
              <a:ea typeface="ＭＳ Ｐゴシック"/>
            </a:rPr>
            <a:pPr algn="l"/>
            <a:t> </a:t>
          </a:fld>
          <a:endParaRPr kumimoji="1" lang="en-US" altLang="en-US" sz="900" b="0" i="0" u="none" strike="noStrike" spc="0" baseline="0">
            <a:solidFill>
              <a:srgbClr val="000000"/>
            </a:solidFill>
            <a:latin typeface="ＭＳ Ｐゴシック"/>
            <a:ea typeface="ＭＳ Ｐゴシック"/>
          </a:endParaRPr>
        </a:p>
      </xdr:txBody>
    </xdr:sp>
    <xdr:clientData/>
  </xdr:twoCellAnchor>
  <xdr:twoCellAnchor>
    <xdr:from>
      <xdr:col>3</xdr:col>
      <xdr:colOff>57979</xdr:colOff>
      <xdr:row>15</xdr:row>
      <xdr:rowOff>115956</xdr:rowOff>
    </xdr:from>
    <xdr:to>
      <xdr:col>8</xdr:col>
      <xdr:colOff>190501</xdr:colOff>
      <xdr:row>17</xdr:row>
      <xdr:rowOff>7328</xdr:rowOff>
    </xdr:to>
    <xdr:sp macro="" textlink="基本情報!B11">
      <xdr:nvSpPr>
        <xdr:cNvPr id="28" name="テキスト ボックス 27">
          <a:extLst>
            <a:ext uri="{FF2B5EF4-FFF2-40B4-BE49-F238E27FC236}">
              <a16:creationId xmlns:a16="http://schemas.microsoft.com/office/drawing/2014/main" id="{00000000-0008-0000-0A00-00001C000000}"/>
            </a:ext>
          </a:extLst>
        </xdr:cNvPr>
        <xdr:cNvSpPr txBox="1"/>
      </xdr:nvSpPr>
      <xdr:spPr>
        <a:xfrm>
          <a:off x="2120349" y="2724978"/>
          <a:ext cx="3569804" cy="2392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6C95217B-FC58-4482-8EF5-18D7B4DC993D}" type="TxLink">
            <a:rPr kumimoji="1" lang="ja-JP" altLang="en-US" sz="900" b="0" i="0" u="none" strike="noStrike">
              <a:solidFill>
                <a:srgbClr val="000000"/>
              </a:solidFill>
              <a:latin typeface="ＭＳ Ｐゴシック"/>
              <a:ea typeface="ＭＳ Ｐゴシック"/>
            </a:rPr>
            <a:pPr/>
            <a:t> </a:t>
          </a:fld>
          <a:endParaRPr kumimoji="1" lang="ja-JP" altLang="en-US" sz="900" b="0" i="0" u="none" strike="noStrike">
            <a:solidFill>
              <a:srgbClr val="000000"/>
            </a:solidFill>
            <a:latin typeface="ＭＳ Ｐゴシック"/>
            <a:ea typeface="ＭＳ Ｐゴシック"/>
          </a:endParaRPr>
        </a:p>
      </xdr:txBody>
    </xdr:sp>
    <xdr:clientData/>
  </xdr:twoCellAnchor>
  <xdr:twoCellAnchor>
    <xdr:from>
      <xdr:col>1</xdr:col>
      <xdr:colOff>524384</xdr:colOff>
      <xdr:row>18</xdr:row>
      <xdr:rowOff>73289</xdr:rowOff>
    </xdr:from>
    <xdr:to>
      <xdr:col>2</xdr:col>
      <xdr:colOff>265744</xdr:colOff>
      <xdr:row>19</xdr:row>
      <xdr:rowOff>143140</xdr:rowOff>
    </xdr:to>
    <xdr:sp macro="" textlink="基本情報!D14">
      <xdr:nvSpPr>
        <xdr:cNvPr id="29" name="テキスト ボックス 28">
          <a:extLst>
            <a:ext uri="{FF2B5EF4-FFF2-40B4-BE49-F238E27FC236}">
              <a16:creationId xmlns:a16="http://schemas.microsoft.com/office/drawing/2014/main" id="{00000000-0008-0000-0A00-00001D000000}"/>
            </a:ext>
          </a:extLst>
        </xdr:cNvPr>
        <xdr:cNvSpPr txBox="1"/>
      </xdr:nvSpPr>
      <xdr:spPr>
        <a:xfrm>
          <a:off x="1211841" y="3204115"/>
          <a:ext cx="428816" cy="24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5D129FB7-FBA6-41F8-9E8E-D1EB67E7C656}" type="TxLink">
            <a:rPr kumimoji="1" lang="en-US" altLang="en-US" sz="1200" b="0" i="0" u="none" strike="noStrike" spc="910" baseline="0">
              <a:solidFill>
                <a:srgbClr val="000000"/>
              </a:solidFill>
              <a:latin typeface="OCRB" pitchFamily="49" charset="0"/>
              <a:ea typeface="ＭＳ Ｐゴシック"/>
            </a:rPr>
            <a:pPr/>
            <a:t> </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2</xdr:col>
      <xdr:colOff>532730</xdr:colOff>
      <xdr:row>18</xdr:row>
      <xdr:rowOff>73289</xdr:rowOff>
    </xdr:from>
    <xdr:to>
      <xdr:col>3</xdr:col>
      <xdr:colOff>277021</xdr:colOff>
      <xdr:row>19</xdr:row>
      <xdr:rowOff>143140</xdr:rowOff>
    </xdr:to>
    <xdr:sp macro="" textlink="基本情報!F14">
      <xdr:nvSpPr>
        <xdr:cNvPr id="30" name="テキスト ボックス 29">
          <a:extLst>
            <a:ext uri="{FF2B5EF4-FFF2-40B4-BE49-F238E27FC236}">
              <a16:creationId xmlns:a16="http://schemas.microsoft.com/office/drawing/2014/main" id="{00000000-0008-0000-0A00-00001E000000}"/>
            </a:ext>
          </a:extLst>
        </xdr:cNvPr>
        <xdr:cNvSpPr txBox="1"/>
      </xdr:nvSpPr>
      <xdr:spPr>
        <a:xfrm>
          <a:off x="1907643" y="3204115"/>
          <a:ext cx="431748" cy="24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2EBE9E0-43D8-457F-A0C5-68C6602343D3}" type="TxLink">
            <a:rPr kumimoji="1" lang="en-US" altLang="en-US" sz="1200" b="0" i="0" u="none" strike="noStrike" spc="910" baseline="0">
              <a:solidFill>
                <a:srgbClr val="000000"/>
              </a:solidFill>
              <a:latin typeface="OCRB" pitchFamily="49" charset="0"/>
              <a:ea typeface="ＭＳ Ｐゴシック"/>
            </a:rPr>
            <a:pPr/>
            <a:t> </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3</xdr:col>
      <xdr:colOff>497052</xdr:colOff>
      <xdr:row>18</xdr:row>
      <xdr:rowOff>73289</xdr:rowOff>
    </xdr:from>
    <xdr:to>
      <xdr:col>4</xdr:col>
      <xdr:colOff>241343</xdr:colOff>
      <xdr:row>19</xdr:row>
      <xdr:rowOff>143140</xdr:rowOff>
    </xdr:to>
    <xdr:sp macro="" textlink="基本情報!H14">
      <xdr:nvSpPr>
        <xdr:cNvPr id="31" name="テキスト ボックス 30">
          <a:extLst>
            <a:ext uri="{FF2B5EF4-FFF2-40B4-BE49-F238E27FC236}">
              <a16:creationId xmlns:a16="http://schemas.microsoft.com/office/drawing/2014/main" id="{00000000-0008-0000-0A00-00001F000000}"/>
            </a:ext>
          </a:extLst>
        </xdr:cNvPr>
        <xdr:cNvSpPr txBox="1"/>
      </xdr:nvSpPr>
      <xdr:spPr>
        <a:xfrm>
          <a:off x="2559422" y="3204115"/>
          <a:ext cx="431747" cy="24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1790E978-EA68-418F-9059-67639CBBA9E5}" type="TxLink">
            <a:rPr kumimoji="1" lang="en-US" altLang="en-US" sz="1200" b="0" i="0" u="none" strike="noStrike" spc="910" baseline="0">
              <a:solidFill>
                <a:srgbClr val="000000"/>
              </a:solidFill>
              <a:latin typeface="OCRB" pitchFamily="49" charset="0"/>
              <a:ea typeface="ＭＳ Ｐゴシック"/>
            </a:rPr>
            <a:pPr/>
            <a:t> </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4</xdr:col>
      <xdr:colOff>480391</xdr:colOff>
      <xdr:row>19</xdr:row>
      <xdr:rowOff>95250</xdr:rowOff>
    </xdr:from>
    <xdr:to>
      <xdr:col>6</xdr:col>
      <xdr:colOff>373673</xdr:colOff>
      <xdr:row>21</xdr:row>
      <xdr:rowOff>145073</xdr:rowOff>
    </xdr:to>
    <xdr:sp macro="" textlink="基本情報!B15">
      <xdr:nvSpPr>
        <xdr:cNvPr id="33" name="テキスト ボックス 32">
          <a:extLst>
            <a:ext uri="{FF2B5EF4-FFF2-40B4-BE49-F238E27FC236}">
              <a16:creationId xmlns:a16="http://schemas.microsoft.com/office/drawing/2014/main" id="{00000000-0008-0000-0A00-000021000000}"/>
            </a:ext>
          </a:extLst>
        </xdr:cNvPr>
        <xdr:cNvSpPr txBox="1"/>
      </xdr:nvSpPr>
      <xdr:spPr>
        <a:xfrm>
          <a:off x="3230217" y="3400011"/>
          <a:ext cx="1268195" cy="3976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pPr algn="l"/>
          <a:fld id="{81573DB4-F602-43B2-B745-D195480B463D}" type="TxLink">
            <a:rPr kumimoji="1" lang="ja-JP" altLang="en-US" sz="900" b="0" i="0" u="none" strike="noStrike">
              <a:solidFill>
                <a:srgbClr val="000000"/>
              </a:solidFill>
              <a:latin typeface="ＭＳ Ｐゴシック"/>
              <a:ea typeface="ＭＳ Ｐゴシック"/>
            </a:rPr>
            <a:pPr algn="l"/>
            <a:t> </a:t>
          </a:fld>
          <a:endParaRPr kumimoji="1" lang="ja-JP" altLang="en-US" sz="900"/>
        </a:p>
      </xdr:txBody>
    </xdr:sp>
    <xdr:clientData/>
  </xdr:twoCellAnchor>
  <xdr:twoCellAnchor>
    <xdr:from>
      <xdr:col>8</xdr:col>
      <xdr:colOff>104775</xdr:colOff>
      <xdr:row>19</xdr:row>
      <xdr:rowOff>40298</xdr:rowOff>
    </xdr:from>
    <xdr:to>
      <xdr:col>10</xdr:col>
      <xdr:colOff>483577</xdr:colOff>
      <xdr:row>21</xdr:row>
      <xdr:rowOff>145073</xdr:rowOff>
    </xdr:to>
    <xdr:sp macro="" textlink="基本情報!B16">
      <xdr:nvSpPr>
        <xdr:cNvPr id="34" name="テキスト ボックス 33">
          <a:extLst>
            <a:ext uri="{FF2B5EF4-FFF2-40B4-BE49-F238E27FC236}">
              <a16:creationId xmlns:a16="http://schemas.microsoft.com/office/drawing/2014/main" id="{00000000-0008-0000-0A00-000022000000}"/>
            </a:ext>
          </a:extLst>
        </xdr:cNvPr>
        <xdr:cNvSpPr txBox="1"/>
      </xdr:nvSpPr>
      <xdr:spPr>
        <a:xfrm>
          <a:off x="5591175" y="3297848"/>
          <a:ext cx="1750402"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chorCtr="0"/>
        <a:lstStyle/>
        <a:p>
          <a:fld id="{4CAD4270-0D1D-4216-A9C2-51633EF868B7}" type="TxLink">
            <a:rPr kumimoji="1" lang="ja-JP" altLang="en-US" sz="900" b="0" i="0" u="none" strike="noStrike">
              <a:solidFill>
                <a:srgbClr val="000000"/>
              </a:solidFill>
              <a:latin typeface="ＭＳ Ｐゴシック"/>
              <a:ea typeface="ＭＳ Ｐゴシック"/>
            </a:rPr>
            <a:pPr/>
            <a:t> </a:t>
          </a:fld>
          <a:endParaRPr kumimoji="1" lang="ja-JP" altLang="en-US" sz="900"/>
        </a:p>
      </xdr:txBody>
    </xdr:sp>
    <xdr:clientData/>
  </xdr:twoCellAnchor>
  <xdr:twoCellAnchor>
    <xdr:from>
      <xdr:col>0</xdr:col>
      <xdr:colOff>391349</xdr:colOff>
      <xdr:row>23</xdr:row>
      <xdr:rowOff>150203</xdr:rowOff>
    </xdr:from>
    <xdr:to>
      <xdr:col>0</xdr:col>
      <xdr:colOff>577882</xdr:colOff>
      <xdr:row>25</xdr:row>
      <xdr:rowOff>67408</xdr:rowOff>
    </xdr:to>
    <xdr:sp macro="" textlink="計算シート!B49">
      <xdr:nvSpPr>
        <xdr:cNvPr id="35" name="テキスト ボックス 34">
          <a:extLst>
            <a:ext uri="{FF2B5EF4-FFF2-40B4-BE49-F238E27FC236}">
              <a16:creationId xmlns:a16="http://schemas.microsoft.com/office/drawing/2014/main" id="{00000000-0008-0000-0A00-000023000000}"/>
            </a:ext>
          </a:extLst>
        </xdr:cNvPr>
        <xdr:cNvSpPr txBox="1"/>
      </xdr:nvSpPr>
      <xdr:spPr>
        <a:xfrm>
          <a:off x="391349" y="4005923"/>
          <a:ext cx="186533" cy="252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0254CF-471A-418F-B258-ADAC200B1F5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1</xdr:col>
      <xdr:colOff>581263</xdr:colOff>
      <xdr:row>24</xdr:row>
      <xdr:rowOff>3664</xdr:rowOff>
    </xdr:from>
    <xdr:to>
      <xdr:col>2</xdr:col>
      <xdr:colOff>132405</xdr:colOff>
      <xdr:row>25</xdr:row>
      <xdr:rowOff>89389</xdr:rowOff>
    </xdr:to>
    <xdr:sp macro="" textlink="計算シート!C49">
      <xdr:nvSpPr>
        <xdr:cNvPr id="36" name="テキスト ボックス 35">
          <a:extLst>
            <a:ext uri="{FF2B5EF4-FFF2-40B4-BE49-F238E27FC236}">
              <a16:creationId xmlns:a16="http://schemas.microsoft.com/office/drawing/2014/main" id="{00000000-0008-0000-0A00-000024000000}"/>
            </a:ext>
          </a:extLst>
        </xdr:cNvPr>
        <xdr:cNvSpPr txBox="1"/>
      </xdr:nvSpPr>
      <xdr:spPr>
        <a:xfrm>
          <a:off x="1190863" y="4027024"/>
          <a:ext cx="160742"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0543DC8-30C5-480A-A688-0E87EFBB011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3</xdr:col>
      <xdr:colOff>92118</xdr:colOff>
      <xdr:row>23</xdr:row>
      <xdr:rowOff>157530</xdr:rowOff>
    </xdr:from>
    <xdr:to>
      <xdr:col>3</xdr:col>
      <xdr:colOff>316751</xdr:colOff>
      <xdr:row>25</xdr:row>
      <xdr:rowOff>74735</xdr:rowOff>
    </xdr:to>
    <xdr:sp macro="" textlink="計算シート!D49">
      <xdr:nvSpPr>
        <xdr:cNvPr id="37" name="テキスト ボックス 36">
          <a:extLst>
            <a:ext uri="{FF2B5EF4-FFF2-40B4-BE49-F238E27FC236}">
              <a16:creationId xmlns:a16="http://schemas.microsoft.com/office/drawing/2014/main" id="{00000000-0008-0000-0A00-000025000000}"/>
            </a:ext>
          </a:extLst>
        </xdr:cNvPr>
        <xdr:cNvSpPr txBox="1"/>
      </xdr:nvSpPr>
      <xdr:spPr>
        <a:xfrm>
          <a:off x="2163806" y="3991343"/>
          <a:ext cx="224633"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8A71FA5-9DA9-4A6A-B89E-AB7712BF5AE9}"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9</xdr:col>
      <xdr:colOff>233581</xdr:colOff>
      <xdr:row>23</xdr:row>
      <xdr:rowOff>167786</xdr:rowOff>
    </xdr:from>
    <xdr:to>
      <xdr:col>9</xdr:col>
      <xdr:colOff>458214</xdr:colOff>
      <xdr:row>25</xdr:row>
      <xdr:rowOff>82061</xdr:rowOff>
    </xdr:to>
    <xdr:sp macro="" textlink="計算シート!X4">
      <xdr:nvSpPr>
        <xdr:cNvPr id="45" name="テキスト ボックス 44">
          <a:extLst>
            <a:ext uri="{FF2B5EF4-FFF2-40B4-BE49-F238E27FC236}">
              <a16:creationId xmlns:a16="http://schemas.microsoft.com/office/drawing/2014/main" id="{00000000-0008-0000-0A00-00002D000000}"/>
            </a:ext>
          </a:extLst>
        </xdr:cNvPr>
        <xdr:cNvSpPr txBox="1"/>
      </xdr:nvSpPr>
      <xdr:spPr>
        <a:xfrm>
          <a:off x="6405781" y="4111136"/>
          <a:ext cx="224633"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BA3D9E9-0022-4DFA-8031-CB6CB3335D6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0</xdr:col>
      <xdr:colOff>483576</xdr:colOff>
      <xdr:row>41</xdr:row>
      <xdr:rowOff>28575</xdr:rowOff>
    </xdr:from>
    <xdr:to>
      <xdr:col>1</xdr:col>
      <xdr:colOff>19478</xdr:colOff>
      <xdr:row>42</xdr:row>
      <xdr:rowOff>114299</xdr:rowOff>
    </xdr:to>
    <xdr:sp macro="" textlink="計算シート!B51">
      <xdr:nvSpPr>
        <xdr:cNvPr id="46" name="テキスト ボックス 45">
          <a:extLst>
            <a:ext uri="{FF2B5EF4-FFF2-40B4-BE49-F238E27FC236}">
              <a16:creationId xmlns:a16="http://schemas.microsoft.com/office/drawing/2014/main" id="{00000000-0008-0000-0A00-00002E000000}"/>
            </a:ext>
          </a:extLst>
        </xdr:cNvPr>
        <xdr:cNvSpPr txBox="1"/>
      </xdr:nvSpPr>
      <xdr:spPr>
        <a:xfrm>
          <a:off x="483576" y="6862763"/>
          <a:ext cx="226465" cy="252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DDB19A9-8C21-4730-8196-23FDA283A89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5</xdr:col>
      <xdr:colOff>674075</xdr:colOff>
      <xdr:row>41</xdr:row>
      <xdr:rowOff>28575</xdr:rowOff>
    </xdr:from>
    <xdr:to>
      <xdr:col>6</xdr:col>
      <xdr:colOff>209977</xdr:colOff>
      <xdr:row>42</xdr:row>
      <xdr:rowOff>114299</xdr:rowOff>
    </xdr:to>
    <xdr:sp macro="" textlink="計算シート!B52">
      <xdr:nvSpPr>
        <xdr:cNvPr id="47" name="テキスト ボックス 46">
          <a:extLst>
            <a:ext uri="{FF2B5EF4-FFF2-40B4-BE49-F238E27FC236}">
              <a16:creationId xmlns:a16="http://schemas.microsoft.com/office/drawing/2014/main" id="{00000000-0008-0000-0A00-00002F000000}"/>
            </a:ext>
          </a:extLst>
        </xdr:cNvPr>
        <xdr:cNvSpPr txBox="1"/>
      </xdr:nvSpPr>
      <xdr:spPr>
        <a:xfrm>
          <a:off x="4126888" y="6862763"/>
          <a:ext cx="226464" cy="252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E03B6F7-0F14-4FA0-96E0-EFB48C134D1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3</xdr:col>
      <xdr:colOff>144158</xdr:colOff>
      <xdr:row>28</xdr:row>
      <xdr:rowOff>116833</xdr:rowOff>
    </xdr:from>
    <xdr:to>
      <xdr:col>4</xdr:col>
      <xdr:colOff>105325</xdr:colOff>
      <xdr:row>30</xdr:row>
      <xdr:rowOff>18164</xdr:rowOff>
    </xdr:to>
    <xdr:sp macro="" textlink="基本情報!L4">
      <xdr:nvSpPr>
        <xdr:cNvPr id="48" name="テキスト ボックス 47">
          <a:extLst>
            <a:ext uri="{FF2B5EF4-FFF2-40B4-BE49-F238E27FC236}">
              <a16:creationId xmlns:a16="http://schemas.microsoft.com/office/drawing/2014/main" id="{00000000-0008-0000-0A00-000030000000}"/>
            </a:ext>
          </a:extLst>
        </xdr:cNvPr>
        <xdr:cNvSpPr txBox="1"/>
      </xdr:nvSpPr>
      <xdr:spPr>
        <a:xfrm>
          <a:off x="2197986" y="4950771"/>
          <a:ext cx="645777" cy="246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D3A0EDC-C625-4785-A5E8-68E35A33355F}" type="TxLink">
            <a:rPr kumimoji="1" lang="en-US" altLang="ja-JP"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156064</xdr:colOff>
      <xdr:row>30</xdr:row>
      <xdr:rowOff>132860</xdr:rowOff>
    </xdr:from>
    <xdr:to>
      <xdr:col>4</xdr:col>
      <xdr:colOff>117231</xdr:colOff>
      <xdr:row>32</xdr:row>
      <xdr:rowOff>34192</xdr:rowOff>
    </xdr:to>
    <xdr:sp macro="" textlink="基本情報!L5">
      <xdr:nvSpPr>
        <xdr:cNvPr id="49" name="テキスト ボックス 48">
          <a:extLst>
            <a:ext uri="{FF2B5EF4-FFF2-40B4-BE49-F238E27FC236}">
              <a16:creationId xmlns:a16="http://schemas.microsoft.com/office/drawing/2014/main" id="{00000000-0008-0000-0A00-000031000000}"/>
            </a:ext>
          </a:extLst>
        </xdr:cNvPr>
        <xdr:cNvSpPr txBox="1"/>
      </xdr:nvSpPr>
      <xdr:spPr>
        <a:xfrm>
          <a:off x="2227752" y="5133485"/>
          <a:ext cx="651729" cy="234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D097795-A35A-456E-ADC6-F298CD0BA055}"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156064</xdr:colOff>
      <xdr:row>33</xdr:row>
      <xdr:rowOff>15628</xdr:rowOff>
    </xdr:from>
    <xdr:to>
      <xdr:col>4</xdr:col>
      <xdr:colOff>117231</xdr:colOff>
      <xdr:row>34</xdr:row>
      <xdr:rowOff>85479</xdr:rowOff>
    </xdr:to>
    <xdr:sp macro="" textlink="基本情報!L6">
      <xdr:nvSpPr>
        <xdr:cNvPr id="50" name="テキスト ボックス 49">
          <a:extLst>
            <a:ext uri="{FF2B5EF4-FFF2-40B4-BE49-F238E27FC236}">
              <a16:creationId xmlns:a16="http://schemas.microsoft.com/office/drawing/2014/main" id="{00000000-0008-0000-0A00-000032000000}"/>
            </a:ext>
          </a:extLst>
        </xdr:cNvPr>
        <xdr:cNvSpPr txBox="1"/>
      </xdr:nvSpPr>
      <xdr:spPr>
        <a:xfrm>
          <a:off x="2227752" y="5516316"/>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6B959719-0898-40B9-936A-93E1F5419FB0}"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156064</xdr:colOff>
      <xdr:row>35</xdr:row>
      <xdr:rowOff>74243</xdr:rowOff>
    </xdr:from>
    <xdr:to>
      <xdr:col>4</xdr:col>
      <xdr:colOff>117231</xdr:colOff>
      <xdr:row>36</xdr:row>
      <xdr:rowOff>144094</xdr:rowOff>
    </xdr:to>
    <xdr:sp macro="" textlink="基本情報!L7">
      <xdr:nvSpPr>
        <xdr:cNvPr id="51" name="テキスト ボックス 50">
          <a:extLst>
            <a:ext uri="{FF2B5EF4-FFF2-40B4-BE49-F238E27FC236}">
              <a16:creationId xmlns:a16="http://schemas.microsoft.com/office/drawing/2014/main" id="{00000000-0008-0000-0A00-000033000000}"/>
            </a:ext>
          </a:extLst>
        </xdr:cNvPr>
        <xdr:cNvSpPr txBox="1"/>
      </xdr:nvSpPr>
      <xdr:spPr>
        <a:xfrm>
          <a:off x="2227752" y="5908306"/>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A9C33C1-5DA2-44C9-B8D4-8A5C39B05101}"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156064</xdr:colOff>
      <xdr:row>37</xdr:row>
      <xdr:rowOff>88896</xdr:rowOff>
    </xdr:from>
    <xdr:to>
      <xdr:col>4</xdr:col>
      <xdr:colOff>117231</xdr:colOff>
      <xdr:row>38</xdr:row>
      <xdr:rowOff>158747</xdr:rowOff>
    </xdr:to>
    <xdr:sp macro="" textlink="基本情報!L8">
      <xdr:nvSpPr>
        <xdr:cNvPr id="52" name="テキスト ボックス 51">
          <a:extLst>
            <a:ext uri="{FF2B5EF4-FFF2-40B4-BE49-F238E27FC236}">
              <a16:creationId xmlns:a16="http://schemas.microsoft.com/office/drawing/2014/main" id="{00000000-0008-0000-0A00-000034000000}"/>
            </a:ext>
          </a:extLst>
        </xdr:cNvPr>
        <xdr:cNvSpPr txBox="1"/>
      </xdr:nvSpPr>
      <xdr:spPr>
        <a:xfrm>
          <a:off x="2227752" y="6256334"/>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315C8EBE-A816-4E56-98D2-73115B8A0529}"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156064</xdr:colOff>
      <xdr:row>39</xdr:row>
      <xdr:rowOff>81569</xdr:rowOff>
    </xdr:from>
    <xdr:to>
      <xdr:col>4</xdr:col>
      <xdr:colOff>117231</xdr:colOff>
      <xdr:row>40</xdr:row>
      <xdr:rowOff>151420</xdr:rowOff>
    </xdr:to>
    <xdr:sp macro="" textlink="基本情報!L9">
      <xdr:nvSpPr>
        <xdr:cNvPr id="53" name="テキスト ボックス 52">
          <a:extLst>
            <a:ext uri="{FF2B5EF4-FFF2-40B4-BE49-F238E27FC236}">
              <a16:creationId xmlns:a16="http://schemas.microsoft.com/office/drawing/2014/main" id="{00000000-0008-0000-0A00-000035000000}"/>
            </a:ext>
          </a:extLst>
        </xdr:cNvPr>
        <xdr:cNvSpPr txBox="1"/>
      </xdr:nvSpPr>
      <xdr:spPr>
        <a:xfrm>
          <a:off x="2227752" y="6582382"/>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595A09E-779F-4D72-BB0A-A2FE83FB41A3}"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28</xdr:row>
      <xdr:rowOff>125533</xdr:rowOff>
    </xdr:from>
    <xdr:to>
      <xdr:col>6</xdr:col>
      <xdr:colOff>21981</xdr:colOff>
      <xdr:row>30</xdr:row>
      <xdr:rowOff>26864</xdr:rowOff>
    </xdr:to>
    <xdr:sp macro="" textlink="基本情報!L10">
      <xdr:nvSpPr>
        <xdr:cNvPr id="54" name="テキスト ボックス 53">
          <a:extLst>
            <a:ext uri="{FF2B5EF4-FFF2-40B4-BE49-F238E27FC236}">
              <a16:creationId xmlns:a16="http://schemas.microsoft.com/office/drawing/2014/main" id="{00000000-0008-0000-0A00-000036000000}"/>
            </a:ext>
          </a:extLst>
        </xdr:cNvPr>
        <xdr:cNvSpPr txBox="1"/>
      </xdr:nvSpPr>
      <xdr:spPr>
        <a:xfrm>
          <a:off x="3513627" y="4792783"/>
          <a:ext cx="651729" cy="234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039A6507-A86A-4D39-8BDE-3137E1A2C2D9}"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30</xdr:row>
      <xdr:rowOff>147513</xdr:rowOff>
    </xdr:from>
    <xdr:to>
      <xdr:col>6</xdr:col>
      <xdr:colOff>21981</xdr:colOff>
      <xdr:row>32</xdr:row>
      <xdr:rowOff>48845</xdr:rowOff>
    </xdr:to>
    <xdr:sp macro="" textlink="基本情報!L11">
      <xdr:nvSpPr>
        <xdr:cNvPr id="55" name="テキスト ボックス 54">
          <a:extLst>
            <a:ext uri="{FF2B5EF4-FFF2-40B4-BE49-F238E27FC236}">
              <a16:creationId xmlns:a16="http://schemas.microsoft.com/office/drawing/2014/main" id="{00000000-0008-0000-0A00-000037000000}"/>
            </a:ext>
          </a:extLst>
        </xdr:cNvPr>
        <xdr:cNvSpPr txBox="1"/>
      </xdr:nvSpPr>
      <xdr:spPr>
        <a:xfrm>
          <a:off x="3513627" y="5148138"/>
          <a:ext cx="651729" cy="234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35ABB5B1-F748-4097-BE52-A0B663368F3E}"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33</xdr:row>
      <xdr:rowOff>8302</xdr:rowOff>
    </xdr:from>
    <xdr:to>
      <xdr:col>6</xdr:col>
      <xdr:colOff>21981</xdr:colOff>
      <xdr:row>34</xdr:row>
      <xdr:rowOff>78153</xdr:rowOff>
    </xdr:to>
    <xdr:sp macro="" textlink="基本情報!L12">
      <xdr:nvSpPr>
        <xdr:cNvPr id="56" name="テキスト ボックス 55">
          <a:extLst>
            <a:ext uri="{FF2B5EF4-FFF2-40B4-BE49-F238E27FC236}">
              <a16:creationId xmlns:a16="http://schemas.microsoft.com/office/drawing/2014/main" id="{00000000-0008-0000-0A00-000038000000}"/>
            </a:ext>
          </a:extLst>
        </xdr:cNvPr>
        <xdr:cNvSpPr txBox="1"/>
      </xdr:nvSpPr>
      <xdr:spPr>
        <a:xfrm>
          <a:off x="3513627" y="5508990"/>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851A1FF6-F4C1-47A3-B681-95A501C136F0}"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35</xdr:row>
      <xdr:rowOff>59591</xdr:rowOff>
    </xdr:from>
    <xdr:to>
      <xdr:col>6</xdr:col>
      <xdr:colOff>21981</xdr:colOff>
      <xdr:row>36</xdr:row>
      <xdr:rowOff>129442</xdr:rowOff>
    </xdr:to>
    <xdr:sp macro="" textlink="基本情報!L13">
      <xdr:nvSpPr>
        <xdr:cNvPr id="57" name="テキスト ボックス 56">
          <a:extLst>
            <a:ext uri="{FF2B5EF4-FFF2-40B4-BE49-F238E27FC236}">
              <a16:creationId xmlns:a16="http://schemas.microsoft.com/office/drawing/2014/main" id="{00000000-0008-0000-0A00-000039000000}"/>
            </a:ext>
          </a:extLst>
        </xdr:cNvPr>
        <xdr:cNvSpPr txBox="1"/>
      </xdr:nvSpPr>
      <xdr:spPr>
        <a:xfrm>
          <a:off x="3513627" y="5893654"/>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5A2421AD-8E0E-4256-A22D-A31B23948B9F}"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37</xdr:row>
      <xdr:rowOff>96225</xdr:rowOff>
    </xdr:from>
    <xdr:to>
      <xdr:col>6</xdr:col>
      <xdr:colOff>21981</xdr:colOff>
      <xdr:row>38</xdr:row>
      <xdr:rowOff>166076</xdr:rowOff>
    </xdr:to>
    <xdr:sp macro="" textlink="基本情報!L14">
      <xdr:nvSpPr>
        <xdr:cNvPr id="58" name="テキスト ボックス 57">
          <a:extLst>
            <a:ext uri="{FF2B5EF4-FFF2-40B4-BE49-F238E27FC236}">
              <a16:creationId xmlns:a16="http://schemas.microsoft.com/office/drawing/2014/main" id="{00000000-0008-0000-0A00-00003A000000}"/>
            </a:ext>
          </a:extLst>
        </xdr:cNvPr>
        <xdr:cNvSpPr txBox="1"/>
      </xdr:nvSpPr>
      <xdr:spPr>
        <a:xfrm>
          <a:off x="3513627" y="6263663"/>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0F950BB7-DE8D-45F6-A0E1-636A3E3DDA85}"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5</xdr:col>
      <xdr:colOff>60814</xdr:colOff>
      <xdr:row>39</xdr:row>
      <xdr:rowOff>81572</xdr:rowOff>
    </xdr:from>
    <xdr:to>
      <xdr:col>6</xdr:col>
      <xdr:colOff>21981</xdr:colOff>
      <xdr:row>40</xdr:row>
      <xdr:rowOff>151423</xdr:rowOff>
    </xdr:to>
    <xdr:sp macro="" textlink="基本情報!L15">
      <xdr:nvSpPr>
        <xdr:cNvPr id="59" name="テキスト ボックス 58">
          <a:extLst>
            <a:ext uri="{FF2B5EF4-FFF2-40B4-BE49-F238E27FC236}">
              <a16:creationId xmlns:a16="http://schemas.microsoft.com/office/drawing/2014/main" id="{00000000-0008-0000-0A00-00003B000000}"/>
            </a:ext>
          </a:extLst>
        </xdr:cNvPr>
        <xdr:cNvSpPr txBox="1"/>
      </xdr:nvSpPr>
      <xdr:spPr>
        <a:xfrm>
          <a:off x="3513627" y="6582385"/>
          <a:ext cx="651729"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79294481-8CDA-430A-8419-5B8A47793866}"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6</xdr:col>
      <xdr:colOff>668949</xdr:colOff>
      <xdr:row>28</xdr:row>
      <xdr:rowOff>125533</xdr:rowOff>
    </xdr:from>
    <xdr:to>
      <xdr:col>7</xdr:col>
      <xdr:colOff>630117</xdr:colOff>
      <xdr:row>30</xdr:row>
      <xdr:rowOff>26864</xdr:rowOff>
    </xdr:to>
    <xdr:sp macro="" textlink="基本情報!L16">
      <xdr:nvSpPr>
        <xdr:cNvPr id="60" name="テキスト ボックス 59">
          <a:extLst>
            <a:ext uri="{FF2B5EF4-FFF2-40B4-BE49-F238E27FC236}">
              <a16:creationId xmlns:a16="http://schemas.microsoft.com/office/drawing/2014/main" id="{00000000-0008-0000-0A00-00003C000000}"/>
            </a:ext>
          </a:extLst>
        </xdr:cNvPr>
        <xdr:cNvSpPr txBox="1"/>
      </xdr:nvSpPr>
      <xdr:spPr>
        <a:xfrm>
          <a:off x="4812324" y="4792783"/>
          <a:ext cx="651731" cy="234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A8996D1D-2399-4D2D-B47C-80EC8DD97D8F}"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6</xdr:col>
      <xdr:colOff>668949</xdr:colOff>
      <xdr:row>30</xdr:row>
      <xdr:rowOff>147513</xdr:rowOff>
    </xdr:from>
    <xdr:to>
      <xdr:col>7</xdr:col>
      <xdr:colOff>630117</xdr:colOff>
      <xdr:row>32</xdr:row>
      <xdr:rowOff>48845</xdr:rowOff>
    </xdr:to>
    <xdr:sp macro="" textlink="基本情報!L17">
      <xdr:nvSpPr>
        <xdr:cNvPr id="61" name="テキスト ボックス 60">
          <a:extLst>
            <a:ext uri="{FF2B5EF4-FFF2-40B4-BE49-F238E27FC236}">
              <a16:creationId xmlns:a16="http://schemas.microsoft.com/office/drawing/2014/main" id="{00000000-0008-0000-0A00-00003D000000}"/>
            </a:ext>
          </a:extLst>
        </xdr:cNvPr>
        <xdr:cNvSpPr txBox="1"/>
      </xdr:nvSpPr>
      <xdr:spPr>
        <a:xfrm>
          <a:off x="4812324" y="5148138"/>
          <a:ext cx="651731" cy="234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CE55E15E-417E-4B95-88B4-02A652349031}"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6</xdr:col>
      <xdr:colOff>668949</xdr:colOff>
      <xdr:row>33</xdr:row>
      <xdr:rowOff>8302</xdr:rowOff>
    </xdr:from>
    <xdr:to>
      <xdr:col>7</xdr:col>
      <xdr:colOff>630117</xdr:colOff>
      <xdr:row>34</xdr:row>
      <xdr:rowOff>78153</xdr:rowOff>
    </xdr:to>
    <xdr:sp macro="" textlink="基本情報!L18">
      <xdr:nvSpPr>
        <xdr:cNvPr id="62" name="テキスト ボックス 61">
          <a:extLst>
            <a:ext uri="{FF2B5EF4-FFF2-40B4-BE49-F238E27FC236}">
              <a16:creationId xmlns:a16="http://schemas.microsoft.com/office/drawing/2014/main" id="{00000000-0008-0000-0A00-00003E000000}"/>
            </a:ext>
          </a:extLst>
        </xdr:cNvPr>
        <xdr:cNvSpPr txBox="1"/>
      </xdr:nvSpPr>
      <xdr:spPr>
        <a:xfrm>
          <a:off x="4812324" y="5508990"/>
          <a:ext cx="651731"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5E749CCC-8757-4B30-ABCB-39C62800D599}"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6</xdr:col>
      <xdr:colOff>668949</xdr:colOff>
      <xdr:row>35</xdr:row>
      <xdr:rowOff>59591</xdr:rowOff>
    </xdr:from>
    <xdr:to>
      <xdr:col>7</xdr:col>
      <xdr:colOff>630117</xdr:colOff>
      <xdr:row>36</xdr:row>
      <xdr:rowOff>129442</xdr:rowOff>
    </xdr:to>
    <xdr:sp macro="" textlink="基本情報!L19">
      <xdr:nvSpPr>
        <xdr:cNvPr id="63" name="テキスト ボックス 62">
          <a:extLst>
            <a:ext uri="{FF2B5EF4-FFF2-40B4-BE49-F238E27FC236}">
              <a16:creationId xmlns:a16="http://schemas.microsoft.com/office/drawing/2014/main" id="{00000000-0008-0000-0A00-00003F000000}"/>
            </a:ext>
          </a:extLst>
        </xdr:cNvPr>
        <xdr:cNvSpPr txBox="1"/>
      </xdr:nvSpPr>
      <xdr:spPr>
        <a:xfrm>
          <a:off x="4812324" y="5893654"/>
          <a:ext cx="651731"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7536ED22-AA9C-433F-B0A1-9778005DB641}"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8</xdr:col>
      <xdr:colOff>610333</xdr:colOff>
      <xdr:row>28</xdr:row>
      <xdr:rowOff>125534</xdr:rowOff>
    </xdr:from>
    <xdr:to>
      <xdr:col>9</xdr:col>
      <xdr:colOff>571500</xdr:colOff>
      <xdr:row>30</xdr:row>
      <xdr:rowOff>26865</xdr:rowOff>
    </xdr:to>
    <xdr:sp macro="" textlink="基本情報!L21">
      <xdr:nvSpPr>
        <xdr:cNvPr id="64" name="テキスト ボックス 63">
          <a:extLst>
            <a:ext uri="{FF2B5EF4-FFF2-40B4-BE49-F238E27FC236}">
              <a16:creationId xmlns:a16="http://schemas.microsoft.com/office/drawing/2014/main" id="{00000000-0008-0000-0A00-000040000000}"/>
            </a:ext>
          </a:extLst>
        </xdr:cNvPr>
        <xdr:cNvSpPr txBox="1"/>
      </xdr:nvSpPr>
      <xdr:spPr>
        <a:xfrm>
          <a:off x="6134833" y="4792784"/>
          <a:ext cx="651730" cy="234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7FA568B6-187B-40E1-B445-5C9283C7D94F}"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8</xdr:col>
      <xdr:colOff>610333</xdr:colOff>
      <xdr:row>30</xdr:row>
      <xdr:rowOff>147514</xdr:rowOff>
    </xdr:from>
    <xdr:to>
      <xdr:col>9</xdr:col>
      <xdr:colOff>571500</xdr:colOff>
      <xdr:row>32</xdr:row>
      <xdr:rowOff>48846</xdr:rowOff>
    </xdr:to>
    <xdr:sp macro="" textlink="基本情報!L22">
      <xdr:nvSpPr>
        <xdr:cNvPr id="65" name="テキスト ボックス 64">
          <a:extLst>
            <a:ext uri="{FF2B5EF4-FFF2-40B4-BE49-F238E27FC236}">
              <a16:creationId xmlns:a16="http://schemas.microsoft.com/office/drawing/2014/main" id="{00000000-0008-0000-0A00-000041000000}"/>
            </a:ext>
          </a:extLst>
        </xdr:cNvPr>
        <xdr:cNvSpPr txBox="1"/>
      </xdr:nvSpPr>
      <xdr:spPr>
        <a:xfrm>
          <a:off x="6134833" y="5148139"/>
          <a:ext cx="651730" cy="2347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1F5CCEAE-492D-4F7B-B17D-389E59B9C488}"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8</xdr:col>
      <xdr:colOff>610333</xdr:colOff>
      <xdr:row>33</xdr:row>
      <xdr:rowOff>8303</xdr:rowOff>
    </xdr:from>
    <xdr:to>
      <xdr:col>9</xdr:col>
      <xdr:colOff>571500</xdr:colOff>
      <xdr:row>34</xdr:row>
      <xdr:rowOff>78154</xdr:rowOff>
    </xdr:to>
    <xdr:sp macro="" textlink="基本情報!L23">
      <xdr:nvSpPr>
        <xdr:cNvPr id="66" name="テキスト ボックス 65">
          <a:extLst>
            <a:ext uri="{FF2B5EF4-FFF2-40B4-BE49-F238E27FC236}">
              <a16:creationId xmlns:a16="http://schemas.microsoft.com/office/drawing/2014/main" id="{00000000-0008-0000-0A00-000042000000}"/>
            </a:ext>
          </a:extLst>
        </xdr:cNvPr>
        <xdr:cNvSpPr txBox="1"/>
      </xdr:nvSpPr>
      <xdr:spPr>
        <a:xfrm>
          <a:off x="6134833" y="5508991"/>
          <a:ext cx="651730"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76EF0EDA-F285-4835-84D1-99D0CCC50E4F}"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8</xdr:col>
      <xdr:colOff>610333</xdr:colOff>
      <xdr:row>35</xdr:row>
      <xdr:rowOff>59592</xdr:rowOff>
    </xdr:from>
    <xdr:to>
      <xdr:col>9</xdr:col>
      <xdr:colOff>571500</xdr:colOff>
      <xdr:row>36</xdr:row>
      <xdr:rowOff>129443</xdr:rowOff>
    </xdr:to>
    <xdr:sp macro="" textlink="基本情報!L24">
      <xdr:nvSpPr>
        <xdr:cNvPr id="67" name="テキスト ボックス 66">
          <a:extLst>
            <a:ext uri="{FF2B5EF4-FFF2-40B4-BE49-F238E27FC236}">
              <a16:creationId xmlns:a16="http://schemas.microsoft.com/office/drawing/2014/main" id="{00000000-0008-0000-0A00-000043000000}"/>
            </a:ext>
          </a:extLst>
        </xdr:cNvPr>
        <xdr:cNvSpPr txBox="1"/>
      </xdr:nvSpPr>
      <xdr:spPr>
        <a:xfrm>
          <a:off x="6134833" y="5893655"/>
          <a:ext cx="651730" cy="2365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D0532BBD-E791-4E94-80C5-956EDEAF37B2}" type="TxLink">
            <a:rPr kumimoji="1" lang="en-US" altLang="en-US" sz="1050" b="0" i="0" u="none" strike="noStrike" spc="910" baseline="0">
              <a:solidFill>
                <a:srgbClr val="000000"/>
              </a:solidFill>
              <a:latin typeface="OCRB" pitchFamily="49" charset="0"/>
              <a:ea typeface="ＭＳ Ｐゴシック"/>
            </a:rPr>
            <a:pPr algn="r"/>
            <a:t> </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8</xdr:col>
      <xdr:colOff>520825</xdr:colOff>
      <xdr:row>39</xdr:row>
      <xdr:rowOff>76248</xdr:rowOff>
    </xdr:from>
    <xdr:to>
      <xdr:col>10</xdr:col>
      <xdr:colOff>47625</xdr:colOff>
      <xdr:row>40</xdr:row>
      <xdr:rowOff>162043</xdr:rowOff>
    </xdr:to>
    <xdr:sp macro="" textlink="基本情報!L25">
      <xdr:nvSpPr>
        <xdr:cNvPr id="68" name="テキスト ボックス 67">
          <a:extLst>
            <a:ext uri="{FF2B5EF4-FFF2-40B4-BE49-F238E27FC236}">
              <a16:creationId xmlns:a16="http://schemas.microsoft.com/office/drawing/2014/main" id="{00000000-0008-0000-0A00-000044000000}"/>
            </a:ext>
          </a:extLst>
        </xdr:cNvPr>
        <xdr:cNvSpPr txBox="1"/>
      </xdr:nvSpPr>
      <xdr:spPr>
        <a:xfrm>
          <a:off x="6020477" y="6859705"/>
          <a:ext cx="901713" cy="259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4FF3128A-DD38-41F5-ACB3-10382AB1BBBC}" type="TxLink">
            <a:rPr kumimoji="1" lang="en-US" altLang="en-US" sz="1200" b="0" i="0" u="none" strike="noStrike" spc="910" baseline="0">
              <a:solidFill>
                <a:srgbClr val="000000"/>
              </a:solidFill>
              <a:latin typeface="OCRB" pitchFamily="49" charset="0"/>
              <a:ea typeface="ＭＳ Ｐゴシック"/>
            </a:rPr>
            <a:pPr algn="r"/>
            <a:t>0</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6</xdr:col>
      <xdr:colOff>593479</xdr:colOff>
      <xdr:row>37</xdr:row>
      <xdr:rowOff>79863</xdr:rowOff>
    </xdr:from>
    <xdr:to>
      <xdr:col>7</xdr:col>
      <xdr:colOff>129382</xdr:colOff>
      <xdr:row>38</xdr:row>
      <xdr:rowOff>165588</xdr:rowOff>
    </xdr:to>
    <xdr:sp macro="" textlink="計算シート!B54">
      <xdr:nvSpPr>
        <xdr:cNvPr id="71" name="テキスト ボックス 70">
          <a:extLst>
            <a:ext uri="{FF2B5EF4-FFF2-40B4-BE49-F238E27FC236}">
              <a16:creationId xmlns:a16="http://schemas.microsoft.com/office/drawing/2014/main" id="{00000000-0008-0000-0A00-000047000000}"/>
            </a:ext>
          </a:extLst>
        </xdr:cNvPr>
        <xdr:cNvSpPr txBox="1"/>
      </xdr:nvSpPr>
      <xdr:spPr>
        <a:xfrm>
          <a:off x="4736854" y="6247301"/>
          <a:ext cx="226466"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EABF1F2-341D-4FEE-B1E3-E5F1EDE8697D}"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7</xdr:col>
      <xdr:colOff>344364</xdr:colOff>
      <xdr:row>37</xdr:row>
      <xdr:rowOff>77665</xdr:rowOff>
    </xdr:from>
    <xdr:to>
      <xdr:col>7</xdr:col>
      <xdr:colOff>568997</xdr:colOff>
      <xdr:row>38</xdr:row>
      <xdr:rowOff>166321</xdr:rowOff>
    </xdr:to>
    <xdr:sp macro="" textlink="計算シート!C54">
      <xdr:nvSpPr>
        <xdr:cNvPr id="72" name="テキスト ボックス 71">
          <a:extLst>
            <a:ext uri="{FF2B5EF4-FFF2-40B4-BE49-F238E27FC236}">
              <a16:creationId xmlns:a16="http://schemas.microsoft.com/office/drawing/2014/main" id="{00000000-0008-0000-0A00-000048000000}"/>
            </a:ext>
          </a:extLst>
        </xdr:cNvPr>
        <xdr:cNvSpPr txBox="1"/>
      </xdr:nvSpPr>
      <xdr:spPr>
        <a:xfrm>
          <a:off x="5178302" y="6245103"/>
          <a:ext cx="224633" cy="255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810F887-8529-4BB2-AD6F-4D8D3BEE3A2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329712</xdr:colOff>
      <xdr:row>40</xdr:row>
      <xdr:rowOff>131884</xdr:rowOff>
    </xdr:from>
    <xdr:to>
      <xdr:col>5</xdr:col>
      <xdr:colOff>293077</xdr:colOff>
      <xdr:row>43</xdr:row>
      <xdr:rowOff>36634</xdr:rowOff>
    </xdr:to>
    <xdr:sp macro="" textlink="基本情報!L26">
      <xdr:nvSpPr>
        <xdr:cNvPr id="73" name="テキスト ボックス 72">
          <a:extLst>
            <a:ext uri="{FF2B5EF4-FFF2-40B4-BE49-F238E27FC236}">
              <a16:creationId xmlns:a16="http://schemas.microsoft.com/office/drawing/2014/main" id="{00000000-0008-0000-0A00-000049000000}"/>
            </a:ext>
          </a:extLst>
        </xdr:cNvPr>
        <xdr:cNvSpPr txBox="1"/>
      </xdr:nvSpPr>
      <xdr:spPr>
        <a:xfrm>
          <a:off x="1710837" y="6799384"/>
          <a:ext cx="2035053" cy="404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F771AEB8-4096-40B0-A59E-95FFF3843428}" type="TxLink">
            <a:rPr kumimoji="1" lang="en-US" altLang="en-US" sz="900" b="0" i="0" u="none" strike="noStrike">
              <a:solidFill>
                <a:srgbClr val="000000"/>
              </a:solidFill>
              <a:latin typeface="ＭＳ Ｐゴシック"/>
              <a:ea typeface="ＭＳ Ｐゴシック"/>
            </a:rPr>
            <a:pPr/>
            <a:t> </a:t>
          </a:fld>
          <a:endParaRPr kumimoji="1" lang="ja-JP" altLang="en-US" sz="900"/>
        </a:p>
      </xdr:txBody>
    </xdr:sp>
    <xdr:clientData/>
  </xdr:twoCellAnchor>
  <xdr:twoCellAnchor>
    <xdr:from>
      <xdr:col>8</xdr:col>
      <xdr:colOff>241788</xdr:colOff>
      <xdr:row>40</xdr:row>
      <xdr:rowOff>139211</xdr:rowOff>
    </xdr:from>
    <xdr:to>
      <xdr:col>10</xdr:col>
      <xdr:colOff>468923</xdr:colOff>
      <xdr:row>43</xdr:row>
      <xdr:rowOff>43961</xdr:rowOff>
    </xdr:to>
    <xdr:sp macro="" textlink="基本情報!L27">
      <xdr:nvSpPr>
        <xdr:cNvPr id="74" name="テキスト ボックス 73">
          <a:extLst>
            <a:ext uri="{FF2B5EF4-FFF2-40B4-BE49-F238E27FC236}">
              <a16:creationId xmlns:a16="http://schemas.microsoft.com/office/drawing/2014/main" id="{00000000-0008-0000-0A00-00004A000000}"/>
            </a:ext>
          </a:extLst>
        </xdr:cNvPr>
        <xdr:cNvSpPr txBox="1"/>
      </xdr:nvSpPr>
      <xdr:spPr>
        <a:xfrm>
          <a:off x="5766288" y="6806711"/>
          <a:ext cx="1608260" cy="404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13A2A606-0CDF-4DDE-B3D0-8DAEB2FB411E}" type="TxLink">
            <a:rPr kumimoji="1" lang="en-US" altLang="en-US" sz="900" b="0" i="0" u="none" strike="noStrike">
              <a:solidFill>
                <a:srgbClr val="000000"/>
              </a:solidFill>
              <a:latin typeface="ＭＳ Ｐゴシック"/>
              <a:ea typeface="ＭＳ Ｐゴシック"/>
            </a:rPr>
            <a:pPr/>
            <a:t> </a:t>
          </a:fld>
          <a:endParaRPr kumimoji="1" lang="ja-JP" altLang="en-US" sz="900"/>
        </a:p>
      </xdr:txBody>
    </xdr:sp>
    <xdr:clientData/>
  </xdr:twoCellAnchor>
  <xdr:twoCellAnchor>
    <xdr:from>
      <xdr:col>0</xdr:col>
      <xdr:colOff>461596</xdr:colOff>
      <xdr:row>44</xdr:row>
      <xdr:rowOff>80597</xdr:rowOff>
    </xdr:from>
    <xdr:to>
      <xdr:col>10</xdr:col>
      <xdr:colOff>542191</xdr:colOff>
      <xdr:row>50</xdr:row>
      <xdr:rowOff>58615</xdr:rowOff>
    </xdr:to>
    <xdr:sp macro="" textlink="基本情報!B17">
      <xdr:nvSpPr>
        <xdr:cNvPr id="75" name="テキスト ボックス 74">
          <a:extLst>
            <a:ext uri="{FF2B5EF4-FFF2-40B4-BE49-F238E27FC236}">
              <a16:creationId xmlns:a16="http://schemas.microsoft.com/office/drawing/2014/main" id="{00000000-0008-0000-0A00-00004B000000}"/>
            </a:ext>
          </a:extLst>
        </xdr:cNvPr>
        <xdr:cNvSpPr txBox="1"/>
      </xdr:nvSpPr>
      <xdr:spPr>
        <a:xfrm>
          <a:off x="461596" y="7414847"/>
          <a:ext cx="6986220" cy="978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l"/>
          <a:fld id="{A1F7E12E-57B2-4F75-95C8-8C61E20A2A21}" type="TxLink">
            <a:rPr kumimoji="1" lang="en-US" altLang="en-US" sz="900" b="0" i="0" u="none" strike="noStrike">
              <a:solidFill>
                <a:srgbClr val="000000"/>
              </a:solidFill>
              <a:latin typeface="ＭＳ Ｐゴシック"/>
              <a:ea typeface="ＭＳ Ｐゴシック"/>
            </a:rPr>
            <a:pPr algn="l"/>
            <a:t> </a:t>
          </a:fld>
          <a:endParaRPr kumimoji="1" lang="ja-JP" altLang="en-US" sz="2000" b="0" i="0" u="none" strike="noStrike">
            <a:solidFill>
              <a:srgbClr val="000000"/>
            </a:solidFill>
            <a:latin typeface="ＭＳ Ｐゴシック"/>
            <a:ea typeface="ＭＳ Ｐゴシック"/>
          </a:endParaRPr>
        </a:p>
      </xdr:txBody>
    </xdr:sp>
    <xdr:clientData/>
  </xdr:twoCellAnchor>
  <xdr:twoCellAnchor>
    <xdr:from>
      <xdr:col>3</xdr:col>
      <xdr:colOff>33131</xdr:colOff>
      <xdr:row>53</xdr:row>
      <xdr:rowOff>91342</xdr:rowOff>
    </xdr:from>
    <xdr:to>
      <xdr:col>3</xdr:col>
      <xdr:colOff>296901</xdr:colOff>
      <xdr:row>54</xdr:row>
      <xdr:rowOff>161193</xdr:rowOff>
    </xdr:to>
    <xdr:sp macro="" textlink="計算シート!H4">
      <xdr:nvSpPr>
        <xdr:cNvPr id="76" name="テキスト ボックス 75">
          <a:extLst>
            <a:ext uri="{FF2B5EF4-FFF2-40B4-BE49-F238E27FC236}">
              <a16:creationId xmlns:a16="http://schemas.microsoft.com/office/drawing/2014/main" id="{00000000-0008-0000-0A00-00004C000000}"/>
            </a:ext>
          </a:extLst>
        </xdr:cNvPr>
        <xdr:cNvSpPr txBox="1"/>
      </xdr:nvSpPr>
      <xdr:spPr>
        <a:xfrm>
          <a:off x="2095501" y="9309885"/>
          <a:ext cx="263770" cy="243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CC08799D-67F5-45B9-8319-51D716938284}"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446942</xdr:colOff>
      <xdr:row>53</xdr:row>
      <xdr:rowOff>79863</xdr:rowOff>
    </xdr:from>
    <xdr:to>
      <xdr:col>3</xdr:col>
      <xdr:colOff>671575</xdr:colOff>
      <xdr:row>54</xdr:row>
      <xdr:rowOff>165588</xdr:rowOff>
    </xdr:to>
    <xdr:sp macro="" textlink="計算シート!C2" fLocksText="0">
      <xdr:nvSpPr>
        <xdr:cNvPr id="77" name="テキスト ボックス 76">
          <a:extLst>
            <a:ext uri="{FF2B5EF4-FFF2-40B4-BE49-F238E27FC236}">
              <a16:creationId xmlns:a16="http://schemas.microsoft.com/office/drawing/2014/main" id="{00000000-0008-0000-0A00-00004D000000}"/>
            </a:ext>
          </a:extLst>
        </xdr:cNvPr>
        <xdr:cNvSpPr txBox="1"/>
      </xdr:nvSpPr>
      <xdr:spPr>
        <a:xfrm>
          <a:off x="2518630" y="8914301"/>
          <a:ext cx="224633"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1AA656A-4C9E-47C7-AE3A-0FDE7A1241F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4</xdr:col>
      <xdr:colOff>372500</xdr:colOff>
      <xdr:row>53</xdr:row>
      <xdr:rowOff>87189</xdr:rowOff>
    </xdr:from>
    <xdr:to>
      <xdr:col>4</xdr:col>
      <xdr:colOff>581893</xdr:colOff>
      <xdr:row>55</xdr:row>
      <xdr:rowOff>4394</xdr:rowOff>
    </xdr:to>
    <xdr:sp macro="" textlink="計算シート!C3" fLocksText="0">
      <xdr:nvSpPr>
        <xdr:cNvPr id="78" name="テキスト ボックス 77">
          <a:extLst>
            <a:ext uri="{FF2B5EF4-FFF2-40B4-BE49-F238E27FC236}">
              <a16:creationId xmlns:a16="http://schemas.microsoft.com/office/drawing/2014/main" id="{00000000-0008-0000-0A00-00004E000000}"/>
            </a:ext>
          </a:extLst>
        </xdr:cNvPr>
        <xdr:cNvSpPr txBox="1"/>
      </xdr:nvSpPr>
      <xdr:spPr>
        <a:xfrm>
          <a:off x="2810900" y="8972109"/>
          <a:ext cx="209393" cy="252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fld id="{72445633-6E12-4BCB-83D2-2D8714286895}" type="TxLink">
            <a:rPr kumimoji="1" lang="ja-JP" altLang="en-US" sz="1100" b="0" i="0" u="none" strike="noStrike">
              <a:solidFill>
                <a:srgbClr val="000000"/>
              </a:solidFill>
              <a:latin typeface="ＭＳ Ｐゴシック"/>
              <a:ea typeface="ＭＳ Ｐゴシック"/>
              <a:cs typeface="+mn-cs"/>
            </a:rPr>
            <a:pPr marL="0" indent="0"/>
            <a:t> </a:t>
          </a:fld>
          <a:endParaRPr kumimoji="1" lang="ja-JP" altLang="en-US" sz="1050" b="0" i="0" u="none" strike="noStrike">
            <a:solidFill>
              <a:srgbClr val="000000"/>
            </a:solidFill>
            <a:latin typeface="+mn-ea"/>
            <a:ea typeface="+mn-ea"/>
            <a:cs typeface="+mn-cs"/>
          </a:endParaRPr>
        </a:p>
      </xdr:txBody>
    </xdr:sp>
    <xdr:clientData fLocksWithSheet="0"/>
  </xdr:twoCellAnchor>
  <xdr:twoCellAnchor>
    <xdr:from>
      <xdr:col>5</xdr:col>
      <xdr:colOff>328831</xdr:colOff>
      <xdr:row>53</xdr:row>
      <xdr:rowOff>87189</xdr:rowOff>
    </xdr:from>
    <xdr:to>
      <xdr:col>5</xdr:col>
      <xdr:colOff>553464</xdr:colOff>
      <xdr:row>55</xdr:row>
      <xdr:rowOff>4394</xdr:rowOff>
    </xdr:to>
    <xdr:sp macro="" textlink="計算シート!C4">
      <xdr:nvSpPr>
        <xdr:cNvPr id="79" name="テキスト ボックス 78">
          <a:extLst>
            <a:ext uri="{FF2B5EF4-FFF2-40B4-BE49-F238E27FC236}">
              <a16:creationId xmlns:a16="http://schemas.microsoft.com/office/drawing/2014/main" id="{00000000-0008-0000-0A00-00004F000000}"/>
            </a:ext>
          </a:extLst>
        </xdr:cNvPr>
        <xdr:cNvSpPr txBox="1"/>
      </xdr:nvSpPr>
      <xdr:spPr>
        <a:xfrm>
          <a:off x="3376831" y="8972109"/>
          <a:ext cx="224633" cy="252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3560AA8-1F86-46D9-91BC-8F48E9BB532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6</xdr:col>
      <xdr:colOff>300403</xdr:colOff>
      <xdr:row>53</xdr:row>
      <xdr:rowOff>79862</xdr:rowOff>
    </xdr:from>
    <xdr:to>
      <xdr:col>6</xdr:col>
      <xdr:colOff>525036</xdr:colOff>
      <xdr:row>54</xdr:row>
      <xdr:rowOff>165587</xdr:rowOff>
    </xdr:to>
    <xdr:sp macro="" textlink="計算シート!C5">
      <xdr:nvSpPr>
        <xdr:cNvPr id="80" name="テキスト ボックス 79">
          <a:extLst>
            <a:ext uri="{FF2B5EF4-FFF2-40B4-BE49-F238E27FC236}">
              <a16:creationId xmlns:a16="http://schemas.microsoft.com/office/drawing/2014/main" id="{00000000-0008-0000-0A00-000050000000}"/>
            </a:ext>
          </a:extLst>
        </xdr:cNvPr>
        <xdr:cNvSpPr txBox="1"/>
      </xdr:nvSpPr>
      <xdr:spPr>
        <a:xfrm>
          <a:off x="4443778" y="8914300"/>
          <a:ext cx="224633" cy="252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614F4B-1194-4933-AAE0-63996964185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7</xdr:col>
      <xdr:colOff>263769</xdr:colOff>
      <xdr:row>53</xdr:row>
      <xdr:rowOff>87189</xdr:rowOff>
    </xdr:from>
    <xdr:to>
      <xdr:col>7</xdr:col>
      <xdr:colOff>488402</xdr:colOff>
      <xdr:row>55</xdr:row>
      <xdr:rowOff>4394</xdr:rowOff>
    </xdr:to>
    <xdr:sp macro="" textlink="計算シート!C6">
      <xdr:nvSpPr>
        <xdr:cNvPr id="81" name="テキスト ボックス 80">
          <a:extLst>
            <a:ext uri="{FF2B5EF4-FFF2-40B4-BE49-F238E27FC236}">
              <a16:creationId xmlns:a16="http://schemas.microsoft.com/office/drawing/2014/main" id="{00000000-0008-0000-0A00-000051000000}"/>
            </a:ext>
          </a:extLst>
        </xdr:cNvPr>
        <xdr:cNvSpPr txBox="1"/>
      </xdr:nvSpPr>
      <xdr:spPr>
        <a:xfrm>
          <a:off x="5097707" y="8921627"/>
          <a:ext cx="224633"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60E3D98-0655-43B5-BD67-206AE1F8692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3</xdr:col>
      <xdr:colOff>28032</xdr:colOff>
      <xdr:row>55</xdr:row>
      <xdr:rowOff>127976</xdr:rowOff>
    </xdr:from>
    <xdr:to>
      <xdr:col>3</xdr:col>
      <xdr:colOff>290529</xdr:colOff>
      <xdr:row>57</xdr:row>
      <xdr:rowOff>29308</xdr:rowOff>
    </xdr:to>
    <xdr:sp macro="" textlink="計算シート!H5">
      <xdr:nvSpPr>
        <xdr:cNvPr id="82" name="テキスト ボックス 81">
          <a:extLst>
            <a:ext uri="{FF2B5EF4-FFF2-40B4-BE49-F238E27FC236}">
              <a16:creationId xmlns:a16="http://schemas.microsoft.com/office/drawing/2014/main" id="{00000000-0008-0000-0A00-000052000000}"/>
            </a:ext>
          </a:extLst>
        </xdr:cNvPr>
        <xdr:cNvSpPr txBox="1"/>
      </xdr:nvSpPr>
      <xdr:spPr>
        <a:xfrm>
          <a:off x="2090402" y="9694389"/>
          <a:ext cx="262497" cy="249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2F97F563-807F-49AA-BCDB-CAF47C46210A}"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3</xdr:col>
      <xdr:colOff>454269</xdr:colOff>
      <xdr:row>55</xdr:row>
      <xdr:rowOff>116497</xdr:rowOff>
    </xdr:from>
    <xdr:to>
      <xdr:col>3</xdr:col>
      <xdr:colOff>678902</xdr:colOff>
      <xdr:row>57</xdr:row>
      <xdr:rowOff>33703</xdr:rowOff>
    </xdr:to>
    <xdr:sp macro="" textlink="計算シート!C9">
      <xdr:nvSpPr>
        <xdr:cNvPr id="89" name="テキスト ボックス 88">
          <a:extLst>
            <a:ext uri="{FF2B5EF4-FFF2-40B4-BE49-F238E27FC236}">
              <a16:creationId xmlns:a16="http://schemas.microsoft.com/office/drawing/2014/main" id="{00000000-0008-0000-0A00-000059000000}"/>
            </a:ext>
          </a:extLst>
        </xdr:cNvPr>
        <xdr:cNvSpPr txBox="1"/>
      </xdr:nvSpPr>
      <xdr:spPr>
        <a:xfrm>
          <a:off x="2525957" y="9284310"/>
          <a:ext cx="224633" cy="250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96ECF8-445C-4602-9C1C-F74ED3FF2DC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4</xdr:col>
      <xdr:colOff>379827</xdr:colOff>
      <xdr:row>55</xdr:row>
      <xdr:rowOff>123823</xdr:rowOff>
    </xdr:from>
    <xdr:to>
      <xdr:col>4</xdr:col>
      <xdr:colOff>581600</xdr:colOff>
      <xdr:row>57</xdr:row>
      <xdr:rowOff>41029</xdr:rowOff>
    </xdr:to>
    <xdr:sp macro="" textlink="計算シート!C10">
      <xdr:nvSpPr>
        <xdr:cNvPr id="90" name="テキスト ボックス 89">
          <a:extLst>
            <a:ext uri="{FF2B5EF4-FFF2-40B4-BE49-F238E27FC236}">
              <a16:creationId xmlns:a16="http://schemas.microsoft.com/office/drawing/2014/main" id="{00000000-0008-0000-0A00-00005A000000}"/>
            </a:ext>
          </a:extLst>
        </xdr:cNvPr>
        <xdr:cNvSpPr txBox="1"/>
      </xdr:nvSpPr>
      <xdr:spPr>
        <a:xfrm>
          <a:off x="2818227" y="9344023"/>
          <a:ext cx="201773" cy="252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341BC6-F320-406C-9938-DD8B93782A4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5</xdr:col>
      <xdr:colOff>336158</xdr:colOff>
      <xdr:row>55</xdr:row>
      <xdr:rowOff>123823</xdr:rowOff>
    </xdr:from>
    <xdr:to>
      <xdr:col>5</xdr:col>
      <xdr:colOff>560791</xdr:colOff>
      <xdr:row>57</xdr:row>
      <xdr:rowOff>41029</xdr:rowOff>
    </xdr:to>
    <xdr:sp macro="" textlink="計算シート!C11">
      <xdr:nvSpPr>
        <xdr:cNvPr id="91" name="テキスト ボックス 90">
          <a:extLst>
            <a:ext uri="{FF2B5EF4-FFF2-40B4-BE49-F238E27FC236}">
              <a16:creationId xmlns:a16="http://schemas.microsoft.com/office/drawing/2014/main" id="{00000000-0008-0000-0A00-00005B000000}"/>
            </a:ext>
          </a:extLst>
        </xdr:cNvPr>
        <xdr:cNvSpPr txBox="1"/>
      </xdr:nvSpPr>
      <xdr:spPr>
        <a:xfrm>
          <a:off x="3384158" y="9344023"/>
          <a:ext cx="224633" cy="252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1520A8E-C1B4-4534-85FD-ADD67931ADA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6</xdr:col>
      <xdr:colOff>307730</xdr:colOff>
      <xdr:row>55</xdr:row>
      <xdr:rowOff>116496</xdr:rowOff>
    </xdr:from>
    <xdr:to>
      <xdr:col>6</xdr:col>
      <xdr:colOff>532363</xdr:colOff>
      <xdr:row>57</xdr:row>
      <xdr:rowOff>33702</xdr:rowOff>
    </xdr:to>
    <xdr:sp macro="" textlink="計算シート!C12">
      <xdr:nvSpPr>
        <xdr:cNvPr id="92" name="テキスト ボックス 91">
          <a:extLst>
            <a:ext uri="{FF2B5EF4-FFF2-40B4-BE49-F238E27FC236}">
              <a16:creationId xmlns:a16="http://schemas.microsoft.com/office/drawing/2014/main" id="{00000000-0008-0000-0A00-00005C000000}"/>
            </a:ext>
          </a:extLst>
        </xdr:cNvPr>
        <xdr:cNvSpPr txBox="1"/>
      </xdr:nvSpPr>
      <xdr:spPr>
        <a:xfrm>
          <a:off x="4451105" y="9284309"/>
          <a:ext cx="224633" cy="2505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9F9129-5E55-4712-875E-F90DFE23EF7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xdr:twoCellAnchor>
  <xdr:twoCellAnchor>
    <xdr:from>
      <xdr:col>1</xdr:col>
      <xdr:colOff>630115</xdr:colOff>
      <xdr:row>57</xdr:row>
      <xdr:rowOff>153132</xdr:rowOff>
    </xdr:from>
    <xdr:to>
      <xdr:col>2</xdr:col>
      <xdr:colOff>166017</xdr:colOff>
      <xdr:row>59</xdr:row>
      <xdr:rowOff>70337</xdr:rowOff>
    </xdr:to>
    <xdr:sp macro="" textlink="計算シート!H6" fLocksText="0">
      <xdr:nvSpPr>
        <xdr:cNvPr id="93" name="テキスト ボックス 92">
          <a:extLst>
            <a:ext uri="{FF2B5EF4-FFF2-40B4-BE49-F238E27FC236}">
              <a16:creationId xmlns:a16="http://schemas.microsoft.com/office/drawing/2014/main" id="{00000000-0008-0000-0A00-00005D000000}"/>
            </a:ext>
          </a:extLst>
        </xdr:cNvPr>
        <xdr:cNvSpPr txBox="1"/>
      </xdr:nvSpPr>
      <xdr:spPr>
        <a:xfrm>
          <a:off x="1320678" y="9654320"/>
          <a:ext cx="226464"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9CCB761-1BE4-4064-83BA-02812A14D0F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2</xdr:col>
      <xdr:colOff>549518</xdr:colOff>
      <xdr:row>57</xdr:row>
      <xdr:rowOff>153132</xdr:rowOff>
    </xdr:from>
    <xdr:to>
      <xdr:col>3</xdr:col>
      <xdr:colOff>85421</xdr:colOff>
      <xdr:row>59</xdr:row>
      <xdr:rowOff>70337</xdr:rowOff>
    </xdr:to>
    <xdr:sp macro="" textlink="計算シート!I6" fLocksText="0">
      <xdr:nvSpPr>
        <xdr:cNvPr id="94" name="テキスト ボックス 93">
          <a:extLst>
            <a:ext uri="{FF2B5EF4-FFF2-40B4-BE49-F238E27FC236}">
              <a16:creationId xmlns:a16="http://schemas.microsoft.com/office/drawing/2014/main" id="{00000000-0008-0000-0A00-00005E000000}"/>
            </a:ext>
          </a:extLst>
        </xdr:cNvPr>
        <xdr:cNvSpPr txBox="1"/>
      </xdr:nvSpPr>
      <xdr:spPr>
        <a:xfrm>
          <a:off x="1930643" y="9654320"/>
          <a:ext cx="226466"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AFD9D81-6BB9-442B-9759-5132813D160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4</xdr:col>
      <xdr:colOff>73269</xdr:colOff>
      <xdr:row>57</xdr:row>
      <xdr:rowOff>145805</xdr:rowOff>
    </xdr:from>
    <xdr:to>
      <xdr:col>4</xdr:col>
      <xdr:colOff>297902</xdr:colOff>
      <xdr:row>59</xdr:row>
      <xdr:rowOff>63010</xdr:rowOff>
    </xdr:to>
    <xdr:sp macro="" textlink="計算シート!J6" fLocksText="0">
      <xdr:nvSpPr>
        <xdr:cNvPr id="95" name="テキスト ボックス 94">
          <a:extLst>
            <a:ext uri="{FF2B5EF4-FFF2-40B4-BE49-F238E27FC236}">
              <a16:creationId xmlns:a16="http://schemas.microsoft.com/office/drawing/2014/main" id="{00000000-0008-0000-0A00-00005F000000}"/>
            </a:ext>
          </a:extLst>
        </xdr:cNvPr>
        <xdr:cNvSpPr txBox="1"/>
      </xdr:nvSpPr>
      <xdr:spPr>
        <a:xfrm>
          <a:off x="2835519" y="9646993"/>
          <a:ext cx="224633"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883C2B-6529-476A-ACBB-89936C0D173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6</xdr:col>
      <xdr:colOff>468922</xdr:colOff>
      <xdr:row>57</xdr:row>
      <xdr:rowOff>153132</xdr:rowOff>
    </xdr:from>
    <xdr:to>
      <xdr:col>7</xdr:col>
      <xdr:colOff>4825</xdr:colOff>
      <xdr:row>59</xdr:row>
      <xdr:rowOff>70337</xdr:rowOff>
    </xdr:to>
    <xdr:sp macro="" textlink="計算シート!H8" fLocksText="0">
      <xdr:nvSpPr>
        <xdr:cNvPr id="96" name="テキスト ボックス 95">
          <a:extLst>
            <a:ext uri="{FF2B5EF4-FFF2-40B4-BE49-F238E27FC236}">
              <a16:creationId xmlns:a16="http://schemas.microsoft.com/office/drawing/2014/main" id="{00000000-0008-0000-0A00-000060000000}"/>
            </a:ext>
          </a:extLst>
        </xdr:cNvPr>
        <xdr:cNvSpPr txBox="1"/>
      </xdr:nvSpPr>
      <xdr:spPr>
        <a:xfrm>
          <a:off x="4612297" y="9654320"/>
          <a:ext cx="226466"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B2BDBD9-F1AA-45BD-AF17-034C6788B09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7</xdr:col>
      <xdr:colOff>357847</xdr:colOff>
      <xdr:row>57</xdr:row>
      <xdr:rowOff>153132</xdr:rowOff>
    </xdr:from>
    <xdr:to>
      <xdr:col>7</xdr:col>
      <xdr:colOff>582480</xdr:colOff>
      <xdr:row>59</xdr:row>
      <xdr:rowOff>70337</xdr:rowOff>
    </xdr:to>
    <xdr:sp macro="" textlink="計算シート!I8" fLocksText="0">
      <xdr:nvSpPr>
        <xdr:cNvPr id="97" name="テキスト ボックス 96">
          <a:extLst>
            <a:ext uri="{FF2B5EF4-FFF2-40B4-BE49-F238E27FC236}">
              <a16:creationId xmlns:a16="http://schemas.microsoft.com/office/drawing/2014/main" id="{00000000-0008-0000-0A00-000061000000}"/>
            </a:ext>
          </a:extLst>
        </xdr:cNvPr>
        <xdr:cNvSpPr txBox="1"/>
      </xdr:nvSpPr>
      <xdr:spPr>
        <a:xfrm>
          <a:off x="4625047" y="9708612"/>
          <a:ext cx="224633" cy="252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9D6E9CA-5628-40A2-9AA1-CA5D193A57F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8</xdr:col>
      <xdr:colOff>593480</xdr:colOff>
      <xdr:row>57</xdr:row>
      <xdr:rowOff>160459</xdr:rowOff>
    </xdr:from>
    <xdr:to>
      <xdr:col>9</xdr:col>
      <xdr:colOff>129382</xdr:colOff>
      <xdr:row>59</xdr:row>
      <xdr:rowOff>77664</xdr:rowOff>
    </xdr:to>
    <xdr:sp macro="" textlink="計算シート!J8" fLocksText="0">
      <xdr:nvSpPr>
        <xdr:cNvPr id="98" name="テキスト ボックス 97">
          <a:extLst>
            <a:ext uri="{FF2B5EF4-FFF2-40B4-BE49-F238E27FC236}">
              <a16:creationId xmlns:a16="http://schemas.microsoft.com/office/drawing/2014/main" id="{00000000-0008-0000-0A00-000062000000}"/>
            </a:ext>
          </a:extLst>
        </xdr:cNvPr>
        <xdr:cNvSpPr txBox="1"/>
      </xdr:nvSpPr>
      <xdr:spPr>
        <a:xfrm>
          <a:off x="6117980" y="9661647"/>
          <a:ext cx="226465"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chorCtr="1"/>
        <a:lstStyle/>
        <a:p>
          <a:fld id="{87734F41-AED7-42B5-AA29-5A1DA3DB1A8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9</xdr:col>
      <xdr:colOff>608134</xdr:colOff>
      <xdr:row>57</xdr:row>
      <xdr:rowOff>160459</xdr:rowOff>
    </xdr:from>
    <xdr:to>
      <xdr:col>10</xdr:col>
      <xdr:colOff>144036</xdr:colOff>
      <xdr:row>59</xdr:row>
      <xdr:rowOff>77664</xdr:rowOff>
    </xdr:to>
    <xdr:sp macro="" textlink="計算シート!K8" fLocksText="0">
      <xdr:nvSpPr>
        <xdr:cNvPr id="99" name="テキスト ボックス 98">
          <a:extLst>
            <a:ext uri="{FF2B5EF4-FFF2-40B4-BE49-F238E27FC236}">
              <a16:creationId xmlns:a16="http://schemas.microsoft.com/office/drawing/2014/main" id="{00000000-0008-0000-0A00-000063000000}"/>
            </a:ext>
          </a:extLst>
        </xdr:cNvPr>
        <xdr:cNvSpPr txBox="1"/>
      </xdr:nvSpPr>
      <xdr:spPr>
        <a:xfrm>
          <a:off x="6823197" y="9661647"/>
          <a:ext cx="226464" cy="250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99D3BAD-0F27-40F6-AA26-179F91DA715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1</xdr:col>
      <xdr:colOff>637442</xdr:colOff>
      <xdr:row>60</xdr:row>
      <xdr:rowOff>21247</xdr:rowOff>
    </xdr:from>
    <xdr:to>
      <xdr:col>2</xdr:col>
      <xdr:colOff>173344</xdr:colOff>
      <xdr:row>61</xdr:row>
      <xdr:rowOff>106972</xdr:rowOff>
    </xdr:to>
    <xdr:sp macro="" textlink="計算シート!H7" fLocksText="0">
      <xdr:nvSpPr>
        <xdr:cNvPr id="100" name="テキスト ボックス 99">
          <a:extLst>
            <a:ext uri="{FF2B5EF4-FFF2-40B4-BE49-F238E27FC236}">
              <a16:creationId xmlns:a16="http://schemas.microsoft.com/office/drawing/2014/main" id="{00000000-0008-0000-0A00-000064000000}"/>
            </a:ext>
          </a:extLst>
        </xdr:cNvPr>
        <xdr:cNvSpPr txBox="1"/>
      </xdr:nvSpPr>
      <xdr:spPr>
        <a:xfrm>
          <a:off x="1328005" y="10022497"/>
          <a:ext cx="226464"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26F58B1-9E32-4ED6-ACC3-C62D1BA45C6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2</xdr:col>
      <xdr:colOff>556845</xdr:colOff>
      <xdr:row>60</xdr:row>
      <xdr:rowOff>21247</xdr:rowOff>
    </xdr:from>
    <xdr:to>
      <xdr:col>3</xdr:col>
      <xdr:colOff>92748</xdr:colOff>
      <xdr:row>61</xdr:row>
      <xdr:rowOff>106972</xdr:rowOff>
    </xdr:to>
    <xdr:sp macro="" textlink="計算シート!I7" fLocksText="0">
      <xdr:nvSpPr>
        <xdr:cNvPr id="101" name="テキスト ボックス 100">
          <a:extLst>
            <a:ext uri="{FF2B5EF4-FFF2-40B4-BE49-F238E27FC236}">
              <a16:creationId xmlns:a16="http://schemas.microsoft.com/office/drawing/2014/main" id="{00000000-0008-0000-0A00-000065000000}"/>
            </a:ext>
          </a:extLst>
        </xdr:cNvPr>
        <xdr:cNvSpPr txBox="1"/>
      </xdr:nvSpPr>
      <xdr:spPr>
        <a:xfrm>
          <a:off x="1937970" y="10022497"/>
          <a:ext cx="226466"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CA69AA2-BF6C-4EE2-AD4F-01809284D0F5}"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4</xdr:col>
      <xdr:colOff>80596</xdr:colOff>
      <xdr:row>60</xdr:row>
      <xdr:rowOff>21247</xdr:rowOff>
    </xdr:from>
    <xdr:to>
      <xdr:col>4</xdr:col>
      <xdr:colOff>305229</xdr:colOff>
      <xdr:row>61</xdr:row>
      <xdr:rowOff>106972</xdr:rowOff>
    </xdr:to>
    <xdr:sp macro="" textlink="計算シート!J7" fLocksText="0">
      <xdr:nvSpPr>
        <xdr:cNvPr id="102" name="テキスト ボックス 101">
          <a:extLst>
            <a:ext uri="{FF2B5EF4-FFF2-40B4-BE49-F238E27FC236}">
              <a16:creationId xmlns:a16="http://schemas.microsoft.com/office/drawing/2014/main" id="{00000000-0008-0000-0A00-000066000000}"/>
            </a:ext>
          </a:extLst>
        </xdr:cNvPr>
        <xdr:cNvSpPr txBox="1"/>
      </xdr:nvSpPr>
      <xdr:spPr>
        <a:xfrm>
          <a:off x="2842846" y="10022497"/>
          <a:ext cx="224633"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2E8254C-E8C3-482D-BE13-6268C613122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6</xdr:col>
      <xdr:colOff>476249</xdr:colOff>
      <xdr:row>60</xdr:row>
      <xdr:rowOff>21247</xdr:rowOff>
    </xdr:from>
    <xdr:to>
      <xdr:col>7</xdr:col>
      <xdr:colOff>12152</xdr:colOff>
      <xdr:row>61</xdr:row>
      <xdr:rowOff>106972</xdr:rowOff>
    </xdr:to>
    <xdr:sp macro="" textlink="計算シート!H9" fLocksText="0">
      <xdr:nvSpPr>
        <xdr:cNvPr id="103" name="テキスト ボックス 102">
          <a:extLst>
            <a:ext uri="{FF2B5EF4-FFF2-40B4-BE49-F238E27FC236}">
              <a16:creationId xmlns:a16="http://schemas.microsoft.com/office/drawing/2014/main" id="{00000000-0008-0000-0A00-000067000000}"/>
            </a:ext>
          </a:extLst>
        </xdr:cNvPr>
        <xdr:cNvSpPr txBox="1"/>
      </xdr:nvSpPr>
      <xdr:spPr>
        <a:xfrm>
          <a:off x="4619624" y="10022497"/>
          <a:ext cx="226466"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85386F0-F289-4EEA-88A8-C5902BC6D09B}"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7</xdr:col>
      <xdr:colOff>380414</xdr:colOff>
      <xdr:row>60</xdr:row>
      <xdr:rowOff>21247</xdr:rowOff>
    </xdr:from>
    <xdr:to>
      <xdr:col>7</xdr:col>
      <xdr:colOff>597427</xdr:colOff>
      <xdr:row>61</xdr:row>
      <xdr:rowOff>106972</xdr:rowOff>
    </xdr:to>
    <xdr:sp macro="" textlink="計算シート!I9" fLocksText="0">
      <xdr:nvSpPr>
        <xdr:cNvPr id="104" name="テキスト ボックス 103">
          <a:extLst>
            <a:ext uri="{FF2B5EF4-FFF2-40B4-BE49-F238E27FC236}">
              <a16:creationId xmlns:a16="http://schemas.microsoft.com/office/drawing/2014/main" id="{00000000-0008-0000-0A00-000068000000}"/>
            </a:ext>
          </a:extLst>
        </xdr:cNvPr>
        <xdr:cNvSpPr txBox="1"/>
      </xdr:nvSpPr>
      <xdr:spPr>
        <a:xfrm>
          <a:off x="4647614" y="10079647"/>
          <a:ext cx="217013" cy="253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5F88CA-7B23-4C92-AD14-5452081E337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xdr:from>
      <xdr:col>8</xdr:col>
      <xdr:colOff>600807</xdr:colOff>
      <xdr:row>60</xdr:row>
      <xdr:rowOff>28574</xdr:rowOff>
    </xdr:from>
    <xdr:to>
      <xdr:col>9</xdr:col>
      <xdr:colOff>136709</xdr:colOff>
      <xdr:row>61</xdr:row>
      <xdr:rowOff>114299</xdr:rowOff>
    </xdr:to>
    <xdr:sp macro="" textlink="計算シート!J9" fLocksText="0">
      <xdr:nvSpPr>
        <xdr:cNvPr id="105" name="テキスト ボックス 104">
          <a:extLst>
            <a:ext uri="{FF2B5EF4-FFF2-40B4-BE49-F238E27FC236}">
              <a16:creationId xmlns:a16="http://schemas.microsoft.com/office/drawing/2014/main" id="{00000000-0008-0000-0A00-000069000000}"/>
            </a:ext>
          </a:extLst>
        </xdr:cNvPr>
        <xdr:cNvSpPr txBox="1"/>
      </xdr:nvSpPr>
      <xdr:spPr>
        <a:xfrm>
          <a:off x="6125307" y="10029824"/>
          <a:ext cx="226465" cy="252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D258DB6-ABE7-4FE8-BB8F-4B2D05ACAD4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mn-ea"/>
            <a:ea typeface="+mn-ea"/>
          </a:endParaRPr>
        </a:p>
      </xdr:txBody>
    </xdr:sp>
    <xdr:clientData fLocksWithSheet="0"/>
  </xdr:twoCellAnchor>
  <xdr:twoCellAnchor editAs="oneCell">
    <xdr:from>
      <xdr:col>0</xdr:col>
      <xdr:colOff>142875</xdr:colOff>
      <xdr:row>67</xdr:row>
      <xdr:rowOff>157170</xdr:rowOff>
    </xdr:from>
    <xdr:to>
      <xdr:col>10</xdr:col>
      <xdr:colOff>658500</xdr:colOff>
      <xdr:row>128</xdr:row>
      <xdr:rowOff>59445</xdr:rowOff>
    </xdr:to>
    <xdr:pic>
      <xdr:nvPicPr>
        <xdr:cNvPr id="106" name="Picture 2">
          <a:extLst>
            <a:ext uri="{FF2B5EF4-FFF2-40B4-BE49-F238E27FC236}">
              <a16:creationId xmlns:a16="http://schemas.microsoft.com/office/drawing/2014/main" id="{00000000-0008-0000-0A00-00006A000000}"/>
            </a:ext>
          </a:extLst>
        </xdr:cNvPr>
        <xdr:cNvPicPr>
          <a:picLocks noChangeArrowheads="1"/>
        </xdr:cNvPicPr>
      </xdr:nvPicPr>
      <xdr:blipFill>
        <a:blip xmlns:r="http://schemas.openxmlformats.org/officeDocument/2006/relationships" r:embed="rId4" cstate="print"/>
        <a:srcRect/>
        <a:stretch>
          <a:fillRect/>
        </a:stretch>
      </xdr:blipFill>
      <xdr:spPr bwMode="auto">
        <a:xfrm>
          <a:off x="142875" y="11325233"/>
          <a:ext cx="7421250" cy="10070212"/>
        </a:xfrm>
        <a:prstGeom prst="rect">
          <a:avLst/>
        </a:prstGeom>
        <a:noFill/>
        <a:ln w="1">
          <a:noFill/>
          <a:miter lim="800000"/>
          <a:headEnd/>
          <a:tailEnd type="none" w="med" len="med"/>
        </a:ln>
        <a:effectLst/>
      </xdr:spPr>
    </xdr:pic>
    <xdr:clientData/>
  </xdr:twoCellAnchor>
  <xdr:twoCellAnchor>
    <xdr:from>
      <xdr:col>1</xdr:col>
      <xdr:colOff>357307</xdr:colOff>
      <xdr:row>76</xdr:row>
      <xdr:rowOff>41405</xdr:rowOff>
    </xdr:from>
    <xdr:to>
      <xdr:col>1</xdr:col>
      <xdr:colOff>576382</xdr:colOff>
      <xdr:row>77</xdr:row>
      <xdr:rowOff>119437</xdr:rowOff>
    </xdr:to>
    <xdr:sp macro="" textlink="計算シート!H10">
      <xdr:nvSpPr>
        <xdr:cNvPr id="109" name="テキスト ボックス 108">
          <a:extLst>
            <a:ext uri="{FF2B5EF4-FFF2-40B4-BE49-F238E27FC236}">
              <a16:creationId xmlns:a16="http://schemas.microsoft.com/office/drawing/2014/main" id="{00000000-0008-0000-0A00-00006D000000}"/>
            </a:ext>
          </a:extLst>
        </xdr:cNvPr>
        <xdr:cNvSpPr txBox="1"/>
      </xdr:nvSpPr>
      <xdr:spPr>
        <a:xfrm>
          <a:off x="1047870" y="12709655"/>
          <a:ext cx="219075"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A2B487B-C72E-4347-B428-6F18DF918FD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298569</xdr:colOff>
      <xdr:row>76</xdr:row>
      <xdr:rowOff>41405</xdr:rowOff>
    </xdr:from>
    <xdr:to>
      <xdr:col>2</xdr:col>
      <xdr:colOff>517644</xdr:colOff>
      <xdr:row>77</xdr:row>
      <xdr:rowOff>119437</xdr:rowOff>
    </xdr:to>
    <xdr:sp macro="" textlink="計算シート!I10">
      <xdr:nvSpPr>
        <xdr:cNvPr id="110" name="テキスト ボックス 109">
          <a:extLst>
            <a:ext uri="{FF2B5EF4-FFF2-40B4-BE49-F238E27FC236}">
              <a16:creationId xmlns:a16="http://schemas.microsoft.com/office/drawing/2014/main" id="{00000000-0008-0000-0A00-00006E000000}"/>
            </a:ext>
          </a:extLst>
        </xdr:cNvPr>
        <xdr:cNvSpPr txBox="1"/>
      </xdr:nvSpPr>
      <xdr:spPr>
        <a:xfrm>
          <a:off x="1679694" y="12709655"/>
          <a:ext cx="219075"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6BA0221-DA1A-4CCC-9086-55872EDC3F4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350956</xdr:colOff>
      <xdr:row>76</xdr:row>
      <xdr:rowOff>41405</xdr:rowOff>
    </xdr:from>
    <xdr:to>
      <xdr:col>3</xdr:col>
      <xdr:colOff>570031</xdr:colOff>
      <xdr:row>77</xdr:row>
      <xdr:rowOff>119437</xdr:rowOff>
    </xdr:to>
    <xdr:sp macro="" textlink="計算シート!J10">
      <xdr:nvSpPr>
        <xdr:cNvPr id="111" name="テキスト ボックス 110">
          <a:extLst>
            <a:ext uri="{FF2B5EF4-FFF2-40B4-BE49-F238E27FC236}">
              <a16:creationId xmlns:a16="http://schemas.microsoft.com/office/drawing/2014/main" id="{00000000-0008-0000-0A00-00006F000000}"/>
            </a:ext>
          </a:extLst>
        </xdr:cNvPr>
        <xdr:cNvSpPr txBox="1"/>
      </xdr:nvSpPr>
      <xdr:spPr>
        <a:xfrm>
          <a:off x="2422644" y="12709655"/>
          <a:ext cx="219075"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178EBC-7002-4FB1-A417-5E86306731D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357306</xdr:colOff>
      <xdr:row>78</xdr:row>
      <xdr:rowOff>63630</xdr:rowOff>
    </xdr:from>
    <xdr:to>
      <xdr:col>1</xdr:col>
      <xdr:colOff>576381</xdr:colOff>
      <xdr:row>79</xdr:row>
      <xdr:rowOff>141662</xdr:rowOff>
    </xdr:to>
    <xdr:sp macro="" textlink="計算シート!H11">
      <xdr:nvSpPr>
        <xdr:cNvPr id="112" name="テキスト ボックス 111">
          <a:extLst>
            <a:ext uri="{FF2B5EF4-FFF2-40B4-BE49-F238E27FC236}">
              <a16:creationId xmlns:a16="http://schemas.microsoft.com/office/drawing/2014/main" id="{00000000-0008-0000-0A00-000070000000}"/>
            </a:ext>
          </a:extLst>
        </xdr:cNvPr>
        <xdr:cNvSpPr txBox="1"/>
      </xdr:nvSpPr>
      <xdr:spPr>
        <a:xfrm>
          <a:off x="1047869" y="13065255"/>
          <a:ext cx="219075"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0CF9C8E-0E7D-444E-8D30-3D5B3D3C1BF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78</xdr:row>
      <xdr:rowOff>63630</xdr:rowOff>
    </xdr:from>
    <xdr:to>
      <xdr:col>2</xdr:col>
      <xdr:colOff>517643</xdr:colOff>
      <xdr:row>79</xdr:row>
      <xdr:rowOff>141662</xdr:rowOff>
    </xdr:to>
    <xdr:sp macro="" textlink="計算シート!I11">
      <xdr:nvSpPr>
        <xdr:cNvPr id="113" name="テキスト ボックス 112">
          <a:extLst>
            <a:ext uri="{FF2B5EF4-FFF2-40B4-BE49-F238E27FC236}">
              <a16:creationId xmlns:a16="http://schemas.microsoft.com/office/drawing/2014/main" id="{00000000-0008-0000-0A00-000071000000}"/>
            </a:ext>
          </a:extLst>
        </xdr:cNvPr>
        <xdr:cNvSpPr txBox="1"/>
      </xdr:nvSpPr>
      <xdr:spPr>
        <a:xfrm>
          <a:off x="1679693" y="13065255"/>
          <a:ext cx="219075"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A42A37C-CECE-46BE-A23D-ED54968B40C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350955</xdr:colOff>
      <xdr:row>78</xdr:row>
      <xdr:rowOff>63630</xdr:rowOff>
    </xdr:from>
    <xdr:to>
      <xdr:col>3</xdr:col>
      <xdr:colOff>570030</xdr:colOff>
      <xdr:row>79</xdr:row>
      <xdr:rowOff>141662</xdr:rowOff>
    </xdr:to>
    <xdr:sp macro="" textlink="計算シート!J11">
      <xdr:nvSpPr>
        <xdr:cNvPr id="114" name="テキスト ボックス 113">
          <a:extLst>
            <a:ext uri="{FF2B5EF4-FFF2-40B4-BE49-F238E27FC236}">
              <a16:creationId xmlns:a16="http://schemas.microsoft.com/office/drawing/2014/main" id="{00000000-0008-0000-0A00-000072000000}"/>
            </a:ext>
          </a:extLst>
        </xdr:cNvPr>
        <xdr:cNvSpPr txBox="1"/>
      </xdr:nvSpPr>
      <xdr:spPr>
        <a:xfrm>
          <a:off x="2422643" y="13065255"/>
          <a:ext cx="219075"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6D4CD0-4665-4686-AEA1-F6CCBD13DD2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357306</xdr:colOff>
      <xdr:row>80</xdr:row>
      <xdr:rowOff>85855</xdr:rowOff>
    </xdr:from>
    <xdr:to>
      <xdr:col>1</xdr:col>
      <xdr:colOff>576381</xdr:colOff>
      <xdr:row>81</xdr:row>
      <xdr:rowOff>155949</xdr:rowOff>
    </xdr:to>
    <xdr:sp macro="" textlink="計算シート!H12">
      <xdr:nvSpPr>
        <xdr:cNvPr id="115" name="テキスト ボックス 114">
          <a:extLst>
            <a:ext uri="{FF2B5EF4-FFF2-40B4-BE49-F238E27FC236}">
              <a16:creationId xmlns:a16="http://schemas.microsoft.com/office/drawing/2014/main" id="{00000000-0008-0000-0A00-000073000000}"/>
            </a:ext>
          </a:extLst>
        </xdr:cNvPr>
        <xdr:cNvSpPr txBox="1"/>
      </xdr:nvSpPr>
      <xdr:spPr>
        <a:xfrm>
          <a:off x="1047869" y="13420855"/>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E38DECD-83AD-4D31-9283-991EB4302762}"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80</xdr:row>
      <xdr:rowOff>85855</xdr:rowOff>
    </xdr:from>
    <xdr:to>
      <xdr:col>2</xdr:col>
      <xdr:colOff>517643</xdr:colOff>
      <xdr:row>81</xdr:row>
      <xdr:rowOff>155949</xdr:rowOff>
    </xdr:to>
    <xdr:sp macro="" textlink="計算シート!I12">
      <xdr:nvSpPr>
        <xdr:cNvPr id="116" name="テキスト ボックス 115">
          <a:extLst>
            <a:ext uri="{FF2B5EF4-FFF2-40B4-BE49-F238E27FC236}">
              <a16:creationId xmlns:a16="http://schemas.microsoft.com/office/drawing/2014/main" id="{00000000-0008-0000-0A00-000074000000}"/>
            </a:ext>
          </a:extLst>
        </xdr:cNvPr>
        <xdr:cNvSpPr txBox="1"/>
      </xdr:nvSpPr>
      <xdr:spPr>
        <a:xfrm>
          <a:off x="1679693" y="13420855"/>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6C99469-0940-421A-A4B1-26886C2D0CA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350955</xdr:colOff>
      <xdr:row>80</xdr:row>
      <xdr:rowOff>85855</xdr:rowOff>
    </xdr:from>
    <xdr:to>
      <xdr:col>3</xdr:col>
      <xdr:colOff>570030</xdr:colOff>
      <xdr:row>81</xdr:row>
      <xdr:rowOff>155949</xdr:rowOff>
    </xdr:to>
    <xdr:sp macro="" textlink="計算シート!J12">
      <xdr:nvSpPr>
        <xdr:cNvPr id="117" name="テキスト ボックス 116">
          <a:extLst>
            <a:ext uri="{FF2B5EF4-FFF2-40B4-BE49-F238E27FC236}">
              <a16:creationId xmlns:a16="http://schemas.microsoft.com/office/drawing/2014/main" id="{00000000-0008-0000-0A00-000075000000}"/>
            </a:ext>
          </a:extLst>
        </xdr:cNvPr>
        <xdr:cNvSpPr txBox="1"/>
      </xdr:nvSpPr>
      <xdr:spPr>
        <a:xfrm>
          <a:off x="2422643" y="13420855"/>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B11521D-6458-4F80-AD36-52BCE4E2858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531929</xdr:colOff>
      <xdr:row>78</xdr:row>
      <xdr:rowOff>63630</xdr:rowOff>
    </xdr:from>
    <xdr:to>
      <xdr:col>7</xdr:col>
      <xdr:colOff>73142</xdr:colOff>
      <xdr:row>79</xdr:row>
      <xdr:rowOff>141662</xdr:rowOff>
    </xdr:to>
    <xdr:sp macro="" textlink="計算シート!H14">
      <xdr:nvSpPr>
        <xdr:cNvPr id="118" name="テキスト ボックス 117">
          <a:extLst>
            <a:ext uri="{FF2B5EF4-FFF2-40B4-BE49-F238E27FC236}">
              <a16:creationId xmlns:a16="http://schemas.microsoft.com/office/drawing/2014/main" id="{00000000-0008-0000-0A00-000076000000}"/>
            </a:ext>
          </a:extLst>
        </xdr:cNvPr>
        <xdr:cNvSpPr txBox="1"/>
      </xdr:nvSpPr>
      <xdr:spPr>
        <a:xfrm>
          <a:off x="4675304" y="13065255"/>
          <a:ext cx="231776"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A193552-1478-430C-BA29-85F40CC4E3C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465254</xdr:colOff>
      <xdr:row>78</xdr:row>
      <xdr:rowOff>63630</xdr:rowOff>
    </xdr:from>
    <xdr:to>
      <xdr:col>7</xdr:col>
      <xdr:colOff>684329</xdr:colOff>
      <xdr:row>79</xdr:row>
      <xdr:rowOff>141662</xdr:rowOff>
    </xdr:to>
    <xdr:sp macro="" textlink="計算シート!I14">
      <xdr:nvSpPr>
        <xdr:cNvPr id="119" name="テキスト ボックス 118">
          <a:extLst>
            <a:ext uri="{FF2B5EF4-FFF2-40B4-BE49-F238E27FC236}">
              <a16:creationId xmlns:a16="http://schemas.microsoft.com/office/drawing/2014/main" id="{00000000-0008-0000-0A00-000077000000}"/>
            </a:ext>
          </a:extLst>
        </xdr:cNvPr>
        <xdr:cNvSpPr txBox="1"/>
      </xdr:nvSpPr>
      <xdr:spPr>
        <a:xfrm>
          <a:off x="5299192" y="13065255"/>
          <a:ext cx="219075"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725964-E2F3-4D86-A48B-3B27ACC514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517640</xdr:colOff>
      <xdr:row>78</xdr:row>
      <xdr:rowOff>63630</xdr:rowOff>
    </xdr:from>
    <xdr:to>
      <xdr:col>9</xdr:col>
      <xdr:colOff>50915</xdr:colOff>
      <xdr:row>79</xdr:row>
      <xdr:rowOff>141662</xdr:rowOff>
    </xdr:to>
    <xdr:sp macro="" textlink="計算シート!J14">
      <xdr:nvSpPr>
        <xdr:cNvPr id="120" name="テキスト ボックス 119">
          <a:extLst>
            <a:ext uri="{FF2B5EF4-FFF2-40B4-BE49-F238E27FC236}">
              <a16:creationId xmlns:a16="http://schemas.microsoft.com/office/drawing/2014/main" id="{00000000-0008-0000-0A00-000078000000}"/>
            </a:ext>
          </a:extLst>
        </xdr:cNvPr>
        <xdr:cNvSpPr txBox="1"/>
      </xdr:nvSpPr>
      <xdr:spPr>
        <a:xfrm>
          <a:off x="6042140" y="13065255"/>
          <a:ext cx="223838"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A840589-47BE-4064-834A-26F032FC1D0A}"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531928</xdr:colOff>
      <xdr:row>76</xdr:row>
      <xdr:rowOff>25531</xdr:rowOff>
    </xdr:from>
    <xdr:to>
      <xdr:col>7</xdr:col>
      <xdr:colOff>73141</xdr:colOff>
      <xdr:row>77</xdr:row>
      <xdr:rowOff>103563</xdr:rowOff>
    </xdr:to>
    <xdr:sp macro="" textlink="計算シート!H13">
      <xdr:nvSpPr>
        <xdr:cNvPr id="121" name="テキスト ボックス 120">
          <a:extLst>
            <a:ext uri="{FF2B5EF4-FFF2-40B4-BE49-F238E27FC236}">
              <a16:creationId xmlns:a16="http://schemas.microsoft.com/office/drawing/2014/main" id="{00000000-0008-0000-0A00-000079000000}"/>
            </a:ext>
          </a:extLst>
        </xdr:cNvPr>
        <xdr:cNvSpPr txBox="1"/>
      </xdr:nvSpPr>
      <xdr:spPr>
        <a:xfrm>
          <a:off x="4675303" y="12693781"/>
          <a:ext cx="231776"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14AB33C-149B-46FE-AA18-AD891741489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465253</xdr:colOff>
      <xdr:row>76</xdr:row>
      <xdr:rowOff>25531</xdr:rowOff>
    </xdr:from>
    <xdr:to>
      <xdr:col>7</xdr:col>
      <xdr:colOff>684328</xdr:colOff>
      <xdr:row>77</xdr:row>
      <xdr:rowOff>103563</xdr:rowOff>
    </xdr:to>
    <xdr:sp macro="" textlink="計算シート!I13">
      <xdr:nvSpPr>
        <xdr:cNvPr id="122" name="テキスト ボックス 121">
          <a:extLst>
            <a:ext uri="{FF2B5EF4-FFF2-40B4-BE49-F238E27FC236}">
              <a16:creationId xmlns:a16="http://schemas.microsoft.com/office/drawing/2014/main" id="{00000000-0008-0000-0A00-00007A000000}"/>
            </a:ext>
          </a:extLst>
        </xdr:cNvPr>
        <xdr:cNvSpPr txBox="1"/>
      </xdr:nvSpPr>
      <xdr:spPr>
        <a:xfrm>
          <a:off x="5299191" y="12693781"/>
          <a:ext cx="219075"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253FE5B-FA78-4B41-8848-234F4EBEE947}"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517639</xdr:colOff>
      <xdr:row>76</xdr:row>
      <xdr:rowOff>25531</xdr:rowOff>
    </xdr:from>
    <xdr:to>
      <xdr:col>9</xdr:col>
      <xdr:colOff>50914</xdr:colOff>
      <xdr:row>77</xdr:row>
      <xdr:rowOff>103563</xdr:rowOff>
    </xdr:to>
    <xdr:sp macro="" textlink="計算シート!J13">
      <xdr:nvSpPr>
        <xdr:cNvPr id="123" name="テキスト ボックス 122">
          <a:extLst>
            <a:ext uri="{FF2B5EF4-FFF2-40B4-BE49-F238E27FC236}">
              <a16:creationId xmlns:a16="http://schemas.microsoft.com/office/drawing/2014/main" id="{00000000-0008-0000-0A00-00007B000000}"/>
            </a:ext>
          </a:extLst>
        </xdr:cNvPr>
        <xdr:cNvSpPr txBox="1"/>
      </xdr:nvSpPr>
      <xdr:spPr>
        <a:xfrm>
          <a:off x="6042139" y="12693781"/>
          <a:ext cx="223838"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18D22DB-E500-4784-83A6-0DD4024F8A9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538277</xdr:colOff>
      <xdr:row>76</xdr:row>
      <xdr:rowOff>25531</xdr:rowOff>
    </xdr:from>
    <xdr:to>
      <xdr:col>10</xdr:col>
      <xdr:colOff>79489</xdr:colOff>
      <xdr:row>77</xdr:row>
      <xdr:rowOff>103563</xdr:rowOff>
    </xdr:to>
    <xdr:sp macro="" textlink="計算シート!K13">
      <xdr:nvSpPr>
        <xdr:cNvPr id="124" name="テキスト ボックス 123">
          <a:extLst>
            <a:ext uri="{FF2B5EF4-FFF2-40B4-BE49-F238E27FC236}">
              <a16:creationId xmlns:a16="http://schemas.microsoft.com/office/drawing/2014/main" id="{00000000-0008-0000-0A00-00007C000000}"/>
            </a:ext>
          </a:extLst>
        </xdr:cNvPr>
        <xdr:cNvSpPr txBox="1"/>
      </xdr:nvSpPr>
      <xdr:spPr>
        <a:xfrm>
          <a:off x="6753340" y="12693781"/>
          <a:ext cx="231774"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1B762EB-E0B3-4E7C-944D-1EA71888A72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357306</xdr:colOff>
      <xdr:row>82</xdr:row>
      <xdr:rowOff>116018</xdr:rowOff>
    </xdr:from>
    <xdr:to>
      <xdr:col>1</xdr:col>
      <xdr:colOff>576381</xdr:colOff>
      <xdr:row>84</xdr:row>
      <xdr:rowOff>19425</xdr:rowOff>
    </xdr:to>
    <xdr:sp macro="" textlink="計算シート!H15">
      <xdr:nvSpPr>
        <xdr:cNvPr id="125" name="テキスト ボックス 124">
          <a:extLst>
            <a:ext uri="{FF2B5EF4-FFF2-40B4-BE49-F238E27FC236}">
              <a16:creationId xmlns:a16="http://schemas.microsoft.com/office/drawing/2014/main" id="{00000000-0008-0000-0A00-00007D000000}"/>
            </a:ext>
          </a:extLst>
        </xdr:cNvPr>
        <xdr:cNvSpPr txBox="1"/>
      </xdr:nvSpPr>
      <xdr:spPr>
        <a:xfrm>
          <a:off x="1047869" y="13784393"/>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D3B0D93-9FB8-4E49-9567-6BB173EE1F3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82</xdr:row>
      <xdr:rowOff>116018</xdr:rowOff>
    </xdr:from>
    <xdr:to>
      <xdr:col>2</xdr:col>
      <xdr:colOff>517643</xdr:colOff>
      <xdr:row>84</xdr:row>
      <xdr:rowOff>19425</xdr:rowOff>
    </xdr:to>
    <xdr:sp macro="" textlink="計算シート!I15">
      <xdr:nvSpPr>
        <xdr:cNvPr id="126" name="テキスト ボックス 125">
          <a:extLst>
            <a:ext uri="{FF2B5EF4-FFF2-40B4-BE49-F238E27FC236}">
              <a16:creationId xmlns:a16="http://schemas.microsoft.com/office/drawing/2014/main" id="{00000000-0008-0000-0A00-00007E000000}"/>
            </a:ext>
          </a:extLst>
        </xdr:cNvPr>
        <xdr:cNvSpPr txBox="1"/>
      </xdr:nvSpPr>
      <xdr:spPr>
        <a:xfrm>
          <a:off x="1679693" y="13784393"/>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F83BC93-6B2D-4D1D-A8E9-70DECBABD1E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350955</xdr:colOff>
      <xdr:row>82</xdr:row>
      <xdr:rowOff>116018</xdr:rowOff>
    </xdr:from>
    <xdr:to>
      <xdr:col>3</xdr:col>
      <xdr:colOff>570030</xdr:colOff>
      <xdr:row>84</xdr:row>
      <xdr:rowOff>19425</xdr:rowOff>
    </xdr:to>
    <xdr:sp macro="" textlink="計算シート!J15">
      <xdr:nvSpPr>
        <xdr:cNvPr id="127" name="テキスト ボックス 126">
          <a:extLst>
            <a:ext uri="{FF2B5EF4-FFF2-40B4-BE49-F238E27FC236}">
              <a16:creationId xmlns:a16="http://schemas.microsoft.com/office/drawing/2014/main" id="{00000000-0008-0000-0A00-00007F000000}"/>
            </a:ext>
          </a:extLst>
        </xdr:cNvPr>
        <xdr:cNvSpPr txBox="1"/>
      </xdr:nvSpPr>
      <xdr:spPr>
        <a:xfrm>
          <a:off x="2422643" y="13784393"/>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99A4740-932C-4C08-91BA-29C469A2F28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458904</xdr:colOff>
      <xdr:row>82</xdr:row>
      <xdr:rowOff>116018</xdr:rowOff>
    </xdr:from>
    <xdr:to>
      <xdr:col>4</xdr:col>
      <xdr:colOff>677979</xdr:colOff>
      <xdr:row>84</xdr:row>
      <xdr:rowOff>19425</xdr:rowOff>
    </xdr:to>
    <xdr:sp macro="" textlink="計算シート!K15">
      <xdr:nvSpPr>
        <xdr:cNvPr id="128" name="テキスト ボックス 127">
          <a:extLst>
            <a:ext uri="{FF2B5EF4-FFF2-40B4-BE49-F238E27FC236}">
              <a16:creationId xmlns:a16="http://schemas.microsoft.com/office/drawing/2014/main" id="{00000000-0008-0000-0A00-000080000000}"/>
            </a:ext>
          </a:extLst>
        </xdr:cNvPr>
        <xdr:cNvSpPr txBox="1"/>
      </xdr:nvSpPr>
      <xdr:spPr>
        <a:xfrm>
          <a:off x="3221154" y="13784393"/>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374637A-AAA2-4C4A-97FC-4FF4C2628AA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5</xdr:col>
      <xdr:colOff>550979</xdr:colOff>
      <xdr:row>82</xdr:row>
      <xdr:rowOff>116018</xdr:rowOff>
    </xdr:from>
    <xdr:to>
      <xdr:col>6</xdr:col>
      <xdr:colOff>92191</xdr:colOff>
      <xdr:row>84</xdr:row>
      <xdr:rowOff>19425</xdr:rowOff>
    </xdr:to>
    <xdr:sp macro="" textlink="計算シート!L15">
      <xdr:nvSpPr>
        <xdr:cNvPr id="129" name="テキスト ボックス 128">
          <a:extLst>
            <a:ext uri="{FF2B5EF4-FFF2-40B4-BE49-F238E27FC236}">
              <a16:creationId xmlns:a16="http://schemas.microsoft.com/office/drawing/2014/main" id="{00000000-0008-0000-0A00-000081000000}"/>
            </a:ext>
          </a:extLst>
        </xdr:cNvPr>
        <xdr:cNvSpPr txBox="1"/>
      </xdr:nvSpPr>
      <xdr:spPr>
        <a:xfrm>
          <a:off x="4003792" y="13784393"/>
          <a:ext cx="231774"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CB5D9AB-B05D-4FF8-B0CD-A87D6E4705D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357305</xdr:colOff>
      <xdr:row>84</xdr:row>
      <xdr:rowOff>130306</xdr:rowOff>
    </xdr:from>
    <xdr:to>
      <xdr:col>1</xdr:col>
      <xdr:colOff>576380</xdr:colOff>
      <xdr:row>86</xdr:row>
      <xdr:rowOff>36887</xdr:rowOff>
    </xdr:to>
    <xdr:sp macro="" textlink="計算シート!H16">
      <xdr:nvSpPr>
        <xdr:cNvPr id="130" name="テキスト ボックス 129">
          <a:extLst>
            <a:ext uri="{FF2B5EF4-FFF2-40B4-BE49-F238E27FC236}">
              <a16:creationId xmlns:a16="http://schemas.microsoft.com/office/drawing/2014/main" id="{00000000-0008-0000-0A00-000082000000}"/>
            </a:ext>
          </a:extLst>
        </xdr:cNvPr>
        <xdr:cNvSpPr txBox="1"/>
      </xdr:nvSpPr>
      <xdr:spPr>
        <a:xfrm>
          <a:off x="1047868" y="14132056"/>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A12F8F8-0A24-4A9D-9EAE-CFBBA18AF0D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84</xdr:row>
      <xdr:rowOff>130306</xdr:rowOff>
    </xdr:from>
    <xdr:to>
      <xdr:col>2</xdr:col>
      <xdr:colOff>517642</xdr:colOff>
      <xdr:row>86</xdr:row>
      <xdr:rowOff>36887</xdr:rowOff>
    </xdr:to>
    <xdr:sp macro="" textlink="計算シート!I16">
      <xdr:nvSpPr>
        <xdr:cNvPr id="131" name="テキスト ボックス 130">
          <a:extLst>
            <a:ext uri="{FF2B5EF4-FFF2-40B4-BE49-F238E27FC236}">
              <a16:creationId xmlns:a16="http://schemas.microsoft.com/office/drawing/2014/main" id="{00000000-0008-0000-0A00-000083000000}"/>
            </a:ext>
          </a:extLst>
        </xdr:cNvPr>
        <xdr:cNvSpPr txBox="1"/>
      </xdr:nvSpPr>
      <xdr:spPr>
        <a:xfrm>
          <a:off x="1679692" y="14132056"/>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5E11A9A-B68F-452A-98D1-8E57FABC476A}"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350954</xdr:colOff>
      <xdr:row>84</xdr:row>
      <xdr:rowOff>130306</xdr:rowOff>
    </xdr:from>
    <xdr:to>
      <xdr:col>3</xdr:col>
      <xdr:colOff>570029</xdr:colOff>
      <xdr:row>86</xdr:row>
      <xdr:rowOff>36887</xdr:rowOff>
    </xdr:to>
    <xdr:sp macro="" textlink="計算シート!J16">
      <xdr:nvSpPr>
        <xdr:cNvPr id="132" name="テキスト ボックス 131">
          <a:extLst>
            <a:ext uri="{FF2B5EF4-FFF2-40B4-BE49-F238E27FC236}">
              <a16:creationId xmlns:a16="http://schemas.microsoft.com/office/drawing/2014/main" id="{00000000-0008-0000-0A00-000084000000}"/>
            </a:ext>
          </a:extLst>
        </xdr:cNvPr>
        <xdr:cNvSpPr txBox="1"/>
      </xdr:nvSpPr>
      <xdr:spPr>
        <a:xfrm>
          <a:off x="2422642" y="14132056"/>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1EDAEE-8040-4B50-A570-831C57ED119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458903</xdr:colOff>
      <xdr:row>84</xdr:row>
      <xdr:rowOff>130306</xdr:rowOff>
    </xdr:from>
    <xdr:to>
      <xdr:col>4</xdr:col>
      <xdr:colOff>677978</xdr:colOff>
      <xdr:row>86</xdr:row>
      <xdr:rowOff>36887</xdr:rowOff>
    </xdr:to>
    <xdr:sp macro="" textlink="計算シート!K16">
      <xdr:nvSpPr>
        <xdr:cNvPr id="133" name="テキスト ボックス 132">
          <a:extLst>
            <a:ext uri="{FF2B5EF4-FFF2-40B4-BE49-F238E27FC236}">
              <a16:creationId xmlns:a16="http://schemas.microsoft.com/office/drawing/2014/main" id="{00000000-0008-0000-0A00-000085000000}"/>
            </a:ext>
          </a:extLst>
        </xdr:cNvPr>
        <xdr:cNvSpPr txBox="1"/>
      </xdr:nvSpPr>
      <xdr:spPr>
        <a:xfrm>
          <a:off x="3221153" y="14132056"/>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399FA3A-C00B-4CED-95F2-47689AF4491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5</xdr:col>
      <xdr:colOff>550978</xdr:colOff>
      <xdr:row>84</xdr:row>
      <xdr:rowOff>130306</xdr:rowOff>
    </xdr:from>
    <xdr:to>
      <xdr:col>6</xdr:col>
      <xdr:colOff>92190</xdr:colOff>
      <xdr:row>86</xdr:row>
      <xdr:rowOff>36887</xdr:rowOff>
    </xdr:to>
    <xdr:sp macro="" textlink="計算シート!L16">
      <xdr:nvSpPr>
        <xdr:cNvPr id="134" name="テキスト ボックス 133">
          <a:extLst>
            <a:ext uri="{FF2B5EF4-FFF2-40B4-BE49-F238E27FC236}">
              <a16:creationId xmlns:a16="http://schemas.microsoft.com/office/drawing/2014/main" id="{00000000-0008-0000-0A00-000086000000}"/>
            </a:ext>
          </a:extLst>
        </xdr:cNvPr>
        <xdr:cNvSpPr txBox="1"/>
      </xdr:nvSpPr>
      <xdr:spPr>
        <a:xfrm>
          <a:off x="4003791" y="14132056"/>
          <a:ext cx="231774"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77A546A-D4F6-4A68-8EBE-DED923F899A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357306</xdr:colOff>
      <xdr:row>88</xdr:row>
      <xdr:rowOff>79505</xdr:rowOff>
    </xdr:from>
    <xdr:to>
      <xdr:col>1</xdr:col>
      <xdr:colOff>576381</xdr:colOff>
      <xdr:row>89</xdr:row>
      <xdr:rowOff>149599</xdr:rowOff>
    </xdr:to>
    <xdr:sp macro="" textlink="計算シート!H17">
      <xdr:nvSpPr>
        <xdr:cNvPr id="135" name="テキスト ボックス 134">
          <a:extLst>
            <a:ext uri="{FF2B5EF4-FFF2-40B4-BE49-F238E27FC236}">
              <a16:creationId xmlns:a16="http://schemas.microsoft.com/office/drawing/2014/main" id="{00000000-0008-0000-0A00-000087000000}"/>
            </a:ext>
          </a:extLst>
        </xdr:cNvPr>
        <xdr:cNvSpPr txBox="1"/>
      </xdr:nvSpPr>
      <xdr:spPr>
        <a:xfrm>
          <a:off x="1047869" y="14748005"/>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535737B-A7D0-4B21-830D-BDB2CE1D394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88</xdr:row>
      <xdr:rowOff>79505</xdr:rowOff>
    </xdr:from>
    <xdr:to>
      <xdr:col>2</xdr:col>
      <xdr:colOff>517643</xdr:colOff>
      <xdr:row>89</xdr:row>
      <xdr:rowOff>149599</xdr:rowOff>
    </xdr:to>
    <xdr:sp macro="" textlink="計算シート!I17">
      <xdr:nvSpPr>
        <xdr:cNvPr id="136" name="テキスト ボックス 135">
          <a:extLst>
            <a:ext uri="{FF2B5EF4-FFF2-40B4-BE49-F238E27FC236}">
              <a16:creationId xmlns:a16="http://schemas.microsoft.com/office/drawing/2014/main" id="{00000000-0008-0000-0A00-000088000000}"/>
            </a:ext>
          </a:extLst>
        </xdr:cNvPr>
        <xdr:cNvSpPr txBox="1"/>
      </xdr:nvSpPr>
      <xdr:spPr>
        <a:xfrm>
          <a:off x="1679693" y="14748005"/>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E6D7A16-FDE7-4AE8-BA65-1716BD521AE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358894</xdr:colOff>
      <xdr:row>88</xdr:row>
      <xdr:rowOff>79505</xdr:rowOff>
    </xdr:from>
    <xdr:to>
      <xdr:col>3</xdr:col>
      <xdr:colOff>577969</xdr:colOff>
      <xdr:row>89</xdr:row>
      <xdr:rowOff>149599</xdr:rowOff>
    </xdr:to>
    <xdr:sp macro="" textlink="計算シート!J17">
      <xdr:nvSpPr>
        <xdr:cNvPr id="137" name="テキスト ボックス 136">
          <a:extLst>
            <a:ext uri="{FF2B5EF4-FFF2-40B4-BE49-F238E27FC236}">
              <a16:creationId xmlns:a16="http://schemas.microsoft.com/office/drawing/2014/main" id="{00000000-0008-0000-0A00-000089000000}"/>
            </a:ext>
          </a:extLst>
        </xdr:cNvPr>
        <xdr:cNvSpPr txBox="1"/>
      </xdr:nvSpPr>
      <xdr:spPr>
        <a:xfrm>
          <a:off x="2430582" y="14748005"/>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C881AA9-303B-4404-9C28-F208276695E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323968</xdr:colOff>
      <xdr:row>88</xdr:row>
      <xdr:rowOff>79505</xdr:rowOff>
    </xdr:from>
    <xdr:to>
      <xdr:col>4</xdr:col>
      <xdr:colOff>543043</xdr:colOff>
      <xdr:row>89</xdr:row>
      <xdr:rowOff>149599</xdr:rowOff>
    </xdr:to>
    <xdr:sp macro="" textlink="計算シート!K17">
      <xdr:nvSpPr>
        <xdr:cNvPr id="138" name="テキスト ボックス 137">
          <a:extLst>
            <a:ext uri="{FF2B5EF4-FFF2-40B4-BE49-F238E27FC236}">
              <a16:creationId xmlns:a16="http://schemas.microsoft.com/office/drawing/2014/main" id="{00000000-0008-0000-0A00-00008A000000}"/>
            </a:ext>
          </a:extLst>
        </xdr:cNvPr>
        <xdr:cNvSpPr txBox="1"/>
      </xdr:nvSpPr>
      <xdr:spPr>
        <a:xfrm>
          <a:off x="3086218" y="14748005"/>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22D9144-58F6-421D-AE38-8455F44989C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531930</xdr:colOff>
      <xdr:row>88</xdr:row>
      <xdr:rowOff>79505</xdr:rowOff>
    </xdr:from>
    <xdr:to>
      <xdr:col>7</xdr:col>
      <xdr:colOff>73143</xdr:colOff>
      <xdr:row>89</xdr:row>
      <xdr:rowOff>149599</xdr:rowOff>
    </xdr:to>
    <xdr:sp macro="" textlink="計算シート!H23">
      <xdr:nvSpPr>
        <xdr:cNvPr id="139" name="テキスト ボックス 138">
          <a:extLst>
            <a:ext uri="{FF2B5EF4-FFF2-40B4-BE49-F238E27FC236}">
              <a16:creationId xmlns:a16="http://schemas.microsoft.com/office/drawing/2014/main" id="{00000000-0008-0000-0A00-00008B000000}"/>
            </a:ext>
          </a:extLst>
        </xdr:cNvPr>
        <xdr:cNvSpPr txBox="1"/>
      </xdr:nvSpPr>
      <xdr:spPr>
        <a:xfrm>
          <a:off x="4675305" y="14748005"/>
          <a:ext cx="231776"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0CB2D42-CE63-4BE1-B0DF-48B5A2AF25B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465256</xdr:colOff>
      <xdr:row>88</xdr:row>
      <xdr:rowOff>79505</xdr:rowOff>
    </xdr:from>
    <xdr:to>
      <xdr:col>7</xdr:col>
      <xdr:colOff>684331</xdr:colOff>
      <xdr:row>89</xdr:row>
      <xdr:rowOff>149599</xdr:rowOff>
    </xdr:to>
    <xdr:sp macro="" textlink="計算シート!I23">
      <xdr:nvSpPr>
        <xdr:cNvPr id="140" name="テキスト ボックス 139">
          <a:extLst>
            <a:ext uri="{FF2B5EF4-FFF2-40B4-BE49-F238E27FC236}">
              <a16:creationId xmlns:a16="http://schemas.microsoft.com/office/drawing/2014/main" id="{00000000-0008-0000-0A00-00008C000000}"/>
            </a:ext>
          </a:extLst>
        </xdr:cNvPr>
        <xdr:cNvSpPr txBox="1"/>
      </xdr:nvSpPr>
      <xdr:spPr>
        <a:xfrm>
          <a:off x="5299194" y="14748005"/>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45CF2C1-C1CF-4546-A768-67B81839B7C0}"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525581</xdr:colOff>
      <xdr:row>88</xdr:row>
      <xdr:rowOff>79505</xdr:rowOff>
    </xdr:from>
    <xdr:to>
      <xdr:col>9</xdr:col>
      <xdr:colOff>58856</xdr:colOff>
      <xdr:row>89</xdr:row>
      <xdr:rowOff>149599</xdr:rowOff>
    </xdr:to>
    <xdr:sp macro="" textlink="計算シート!J23">
      <xdr:nvSpPr>
        <xdr:cNvPr id="141" name="テキスト ボックス 140">
          <a:extLst>
            <a:ext uri="{FF2B5EF4-FFF2-40B4-BE49-F238E27FC236}">
              <a16:creationId xmlns:a16="http://schemas.microsoft.com/office/drawing/2014/main" id="{00000000-0008-0000-0A00-00008D000000}"/>
            </a:ext>
          </a:extLst>
        </xdr:cNvPr>
        <xdr:cNvSpPr txBox="1"/>
      </xdr:nvSpPr>
      <xdr:spPr>
        <a:xfrm>
          <a:off x="6050081" y="14748005"/>
          <a:ext cx="223838"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21A8171-87CF-46AF-95A0-A4C8AE8F2FA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357306</xdr:colOff>
      <xdr:row>90</xdr:row>
      <xdr:rowOff>93792</xdr:rowOff>
    </xdr:from>
    <xdr:to>
      <xdr:col>1</xdr:col>
      <xdr:colOff>576381</xdr:colOff>
      <xdr:row>91</xdr:row>
      <xdr:rowOff>163886</xdr:rowOff>
    </xdr:to>
    <xdr:sp macro="" textlink="計算シート!H18">
      <xdr:nvSpPr>
        <xdr:cNvPr id="142" name="テキスト ボックス 141">
          <a:extLst>
            <a:ext uri="{FF2B5EF4-FFF2-40B4-BE49-F238E27FC236}">
              <a16:creationId xmlns:a16="http://schemas.microsoft.com/office/drawing/2014/main" id="{00000000-0008-0000-0A00-00008E000000}"/>
            </a:ext>
          </a:extLst>
        </xdr:cNvPr>
        <xdr:cNvSpPr txBox="1"/>
      </xdr:nvSpPr>
      <xdr:spPr>
        <a:xfrm>
          <a:off x="1047869" y="15095667"/>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9F90FFA-68E9-4D15-B3EB-B32AF872965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90</xdr:row>
      <xdr:rowOff>93792</xdr:rowOff>
    </xdr:from>
    <xdr:to>
      <xdr:col>2</xdr:col>
      <xdr:colOff>517643</xdr:colOff>
      <xdr:row>91</xdr:row>
      <xdr:rowOff>163886</xdr:rowOff>
    </xdr:to>
    <xdr:sp macro="" textlink="計算シート!I18">
      <xdr:nvSpPr>
        <xdr:cNvPr id="143" name="テキスト ボックス 142">
          <a:extLst>
            <a:ext uri="{FF2B5EF4-FFF2-40B4-BE49-F238E27FC236}">
              <a16:creationId xmlns:a16="http://schemas.microsoft.com/office/drawing/2014/main" id="{00000000-0008-0000-0A00-00008F000000}"/>
            </a:ext>
          </a:extLst>
        </xdr:cNvPr>
        <xdr:cNvSpPr txBox="1"/>
      </xdr:nvSpPr>
      <xdr:spPr>
        <a:xfrm>
          <a:off x="1679693" y="15095667"/>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93B3A8-EB8C-4104-B6A3-1C7A89C3FBD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358894</xdr:colOff>
      <xdr:row>90</xdr:row>
      <xdr:rowOff>93792</xdr:rowOff>
    </xdr:from>
    <xdr:to>
      <xdr:col>3</xdr:col>
      <xdr:colOff>577969</xdr:colOff>
      <xdr:row>91</xdr:row>
      <xdr:rowOff>163886</xdr:rowOff>
    </xdr:to>
    <xdr:sp macro="" textlink="計算シート!J18">
      <xdr:nvSpPr>
        <xdr:cNvPr id="144" name="テキスト ボックス 143">
          <a:extLst>
            <a:ext uri="{FF2B5EF4-FFF2-40B4-BE49-F238E27FC236}">
              <a16:creationId xmlns:a16="http://schemas.microsoft.com/office/drawing/2014/main" id="{00000000-0008-0000-0A00-000090000000}"/>
            </a:ext>
          </a:extLst>
        </xdr:cNvPr>
        <xdr:cNvSpPr txBox="1"/>
      </xdr:nvSpPr>
      <xdr:spPr>
        <a:xfrm>
          <a:off x="2430582" y="15095667"/>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DAB23C5-2505-4498-98E2-27C868C5D53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323968</xdr:colOff>
      <xdr:row>90</xdr:row>
      <xdr:rowOff>93792</xdr:rowOff>
    </xdr:from>
    <xdr:to>
      <xdr:col>4</xdr:col>
      <xdr:colOff>543043</xdr:colOff>
      <xdr:row>91</xdr:row>
      <xdr:rowOff>163886</xdr:rowOff>
    </xdr:to>
    <xdr:sp macro="" textlink="計算シート!K18">
      <xdr:nvSpPr>
        <xdr:cNvPr id="145" name="テキスト ボックス 144">
          <a:extLst>
            <a:ext uri="{FF2B5EF4-FFF2-40B4-BE49-F238E27FC236}">
              <a16:creationId xmlns:a16="http://schemas.microsoft.com/office/drawing/2014/main" id="{00000000-0008-0000-0A00-000091000000}"/>
            </a:ext>
          </a:extLst>
        </xdr:cNvPr>
        <xdr:cNvSpPr txBox="1"/>
      </xdr:nvSpPr>
      <xdr:spPr>
        <a:xfrm>
          <a:off x="3086218" y="15095667"/>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52AE82E-B305-426B-95CB-2AF0B90361C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531930</xdr:colOff>
      <xdr:row>90</xdr:row>
      <xdr:rowOff>93792</xdr:rowOff>
    </xdr:from>
    <xdr:to>
      <xdr:col>7</xdr:col>
      <xdr:colOff>73143</xdr:colOff>
      <xdr:row>91</xdr:row>
      <xdr:rowOff>163886</xdr:rowOff>
    </xdr:to>
    <xdr:sp macro="" textlink="計算シート!H24">
      <xdr:nvSpPr>
        <xdr:cNvPr id="146" name="テキスト ボックス 145">
          <a:extLst>
            <a:ext uri="{FF2B5EF4-FFF2-40B4-BE49-F238E27FC236}">
              <a16:creationId xmlns:a16="http://schemas.microsoft.com/office/drawing/2014/main" id="{00000000-0008-0000-0A00-000092000000}"/>
            </a:ext>
          </a:extLst>
        </xdr:cNvPr>
        <xdr:cNvSpPr txBox="1"/>
      </xdr:nvSpPr>
      <xdr:spPr>
        <a:xfrm>
          <a:off x="4675305" y="15095667"/>
          <a:ext cx="231776"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809F21-BD86-4EB0-A3F6-AD857E6A4C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465256</xdr:colOff>
      <xdr:row>90</xdr:row>
      <xdr:rowOff>93792</xdr:rowOff>
    </xdr:from>
    <xdr:to>
      <xdr:col>7</xdr:col>
      <xdr:colOff>684331</xdr:colOff>
      <xdr:row>91</xdr:row>
      <xdr:rowOff>163886</xdr:rowOff>
    </xdr:to>
    <xdr:sp macro="" textlink="計算シート!I24">
      <xdr:nvSpPr>
        <xdr:cNvPr id="147" name="テキスト ボックス 146">
          <a:extLst>
            <a:ext uri="{FF2B5EF4-FFF2-40B4-BE49-F238E27FC236}">
              <a16:creationId xmlns:a16="http://schemas.microsoft.com/office/drawing/2014/main" id="{00000000-0008-0000-0A00-000093000000}"/>
            </a:ext>
          </a:extLst>
        </xdr:cNvPr>
        <xdr:cNvSpPr txBox="1"/>
      </xdr:nvSpPr>
      <xdr:spPr>
        <a:xfrm>
          <a:off x="5299194" y="15095667"/>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BAA42DDE-A7EE-4447-A6A1-DFA9398FBBF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525581</xdr:colOff>
      <xdr:row>90</xdr:row>
      <xdr:rowOff>93792</xdr:rowOff>
    </xdr:from>
    <xdr:to>
      <xdr:col>9</xdr:col>
      <xdr:colOff>58856</xdr:colOff>
      <xdr:row>91</xdr:row>
      <xdr:rowOff>163886</xdr:rowOff>
    </xdr:to>
    <xdr:sp macro="" textlink="計算シート!J24">
      <xdr:nvSpPr>
        <xdr:cNvPr id="148" name="テキスト ボックス 147">
          <a:extLst>
            <a:ext uri="{FF2B5EF4-FFF2-40B4-BE49-F238E27FC236}">
              <a16:creationId xmlns:a16="http://schemas.microsoft.com/office/drawing/2014/main" id="{00000000-0008-0000-0A00-000094000000}"/>
            </a:ext>
          </a:extLst>
        </xdr:cNvPr>
        <xdr:cNvSpPr txBox="1"/>
      </xdr:nvSpPr>
      <xdr:spPr>
        <a:xfrm>
          <a:off x="6050081" y="15095667"/>
          <a:ext cx="223838"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556378E-7D83-4F49-B491-C0A779643E7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357306</xdr:colOff>
      <xdr:row>92</xdr:row>
      <xdr:rowOff>116017</xdr:rowOff>
    </xdr:from>
    <xdr:to>
      <xdr:col>1</xdr:col>
      <xdr:colOff>576381</xdr:colOff>
      <xdr:row>94</xdr:row>
      <xdr:rowOff>27361</xdr:rowOff>
    </xdr:to>
    <xdr:sp macro="" textlink="計算シート!H19">
      <xdr:nvSpPr>
        <xdr:cNvPr id="149" name="テキスト ボックス 148">
          <a:extLst>
            <a:ext uri="{FF2B5EF4-FFF2-40B4-BE49-F238E27FC236}">
              <a16:creationId xmlns:a16="http://schemas.microsoft.com/office/drawing/2014/main" id="{00000000-0008-0000-0A00-000095000000}"/>
            </a:ext>
          </a:extLst>
        </xdr:cNvPr>
        <xdr:cNvSpPr txBox="1"/>
      </xdr:nvSpPr>
      <xdr:spPr>
        <a:xfrm>
          <a:off x="1047869" y="15451267"/>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079596E-DFA5-432B-818A-D520B881060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298568</xdr:colOff>
      <xdr:row>92</xdr:row>
      <xdr:rowOff>116017</xdr:rowOff>
    </xdr:from>
    <xdr:to>
      <xdr:col>2</xdr:col>
      <xdr:colOff>517643</xdr:colOff>
      <xdr:row>94</xdr:row>
      <xdr:rowOff>27361</xdr:rowOff>
    </xdr:to>
    <xdr:sp macro="" textlink="計算シート!I19">
      <xdr:nvSpPr>
        <xdr:cNvPr id="150" name="テキスト ボックス 149">
          <a:extLst>
            <a:ext uri="{FF2B5EF4-FFF2-40B4-BE49-F238E27FC236}">
              <a16:creationId xmlns:a16="http://schemas.microsoft.com/office/drawing/2014/main" id="{00000000-0008-0000-0A00-000096000000}"/>
            </a:ext>
          </a:extLst>
        </xdr:cNvPr>
        <xdr:cNvSpPr txBox="1"/>
      </xdr:nvSpPr>
      <xdr:spPr>
        <a:xfrm>
          <a:off x="1679693" y="15451267"/>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769C78D-24BA-47B5-A1E8-3280AB7C848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358894</xdr:colOff>
      <xdr:row>92</xdr:row>
      <xdr:rowOff>116017</xdr:rowOff>
    </xdr:from>
    <xdr:to>
      <xdr:col>3</xdr:col>
      <xdr:colOff>577969</xdr:colOff>
      <xdr:row>94</xdr:row>
      <xdr:rowOff>27361</xdr:rowOff>
    </xdr:to>
    <xdr:sp macro="" textlink="計算シート!J19">
      <xdr:nvSpPr>
        <xdr:cNvPr id="151" name="テキスト ボックス 150">
          <a:extLst>
            <a:ext uri="{FF2B5EF4-FFF2-40B4-BE49-F238E27FC236}">
              <a16:creationId xmlns:a16="http://schemas.microsoft.com/office/drawing/2014/main" id="{00000000-0008-0000-0A00-000097000000}"/>
            </a:ext>
          </a:extLst>
        </xdr:cNvPr>
        <xdr:cNvSpPr txBox="1"/>
      </xdr:nvSpPr>
      <xdr:spPr>
        <a:xfrm>
          <a:off x="2430582" y="15451267"/>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E0BDE25-78CE-41AB-8FD1-C372EE5C428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531930</xdr:colOff>
      <xdr:row>92</xdr:row>
      <xdr:rowOff>116017</xdr:rowOff>
    </xdr:from>
    <xdr:to>
      <xdr:col>7</xdr:col>
      <xdr:colOff>73143</xdr:colOff>
      <xdr:row>94</xdr:row>
      <xdr:rowOff>27361</xdr:rowOff>
    </xdr:to>
    <xdr:sp macro="" textlink="計算シート!H25">
      <xdr:nvSpPr>
        <xdr:cNvPr id="152" name="テキスト ボックス 151">
          <a:extLst>
            <a:ext uri="{FF2B5EF4-FFF2-40B4-BE49-F238E27FC236}">
              <a16:creationId xmlns:a16="http://schemas.microsoft.com/office/drawing/2014/main" id="{00000000-0008-0000-0A00-000098000000}"/>
            </a:ext>
          </a:extLst>
        </xdr:cNvPr>
        <xdr:cNvSpPr txBox="1"/>
      </xdr:nvSpPr>
      <xdr:spPr>
        <a:xfrm>
          <a:off x="4675305" y="15451267"/>
          <a:ext cx="231776"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243B43-710E-4DFF-93C0-88F07A35461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465256</xdr:colOff>
      <xdr:row>92</xdr:row>
      <xdr:rowOff>116017</xdr:rowOff>
    </xdr:from>
    <xdr:to>
      <xdr:col>7</xdr:col>
      <xdr:colOff>684331</xdr:colOff>
      <xdr:row>94</xdr:row>
      <xdr:rowOff>27361</xdr:rowOff>
    </xdr:to>
    <xdr:sp macro="" textlink="計算シート!I25">
      <xdr:nvSpPr>
        <xdr:cNvPr id="153" name="テキスト ボックス 152">
          <a:extLst>
            <a:ext uri="{FF2B5EF4-FFF2-40B4-BE49-F238E27FC236}">
              <a16:creationId xmlns:a16="http://schemas.microsoft.com/office/drawing/2014/main" id="{00000000-0008-0000-0A00-000099000000}"/>
            </a:ext>
          </a:extLst>
        </xdr:cNvPr>
        <xdr:cNvSpPr txBox="1"/>
      </xdr:nvSpPr>
      <xdr:spPr>
        <a:xfrm>
          <a:off x="5299194" y="15451267"/>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CA28938-6538-4265-BED3-DC837335CF9D}"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525581</xdr:colOff>
      <xdr:row>92</xdr:row>
      <xdr:rowOff>116017</xdr:rowOff>
    </xdr:from>
    <xdr:to>
      <xdr:col>9</xdr:col>
      <xdr:colOff>58856</xdr:colOff>
      <xdr:row>94</xdr:row>
      <xdr:rowOff>27361</xdr:rowOff>
    </xdr:to>
    <xdr:sp macro="" textlink="計算シート!J25">
      <xdr:nvSpPr>
        <xdr:cNvPr id="154" name="テキスト ボックス 153">
          <a:extLst>
            <a:ext uri="{FF2B5EF4-FFF2-40B4-BE49-F238E27FC236}">
              <a16:creationId xmlns:a16="http://schemas.microsoft.com/office/drawing/2014/main" id="{00000000-0008-0000-0A00-00009A000000}"/>
            </a:ext>
          </a:extLst>
        </xdr:cNvPr>
        <xdr:cNvSpPr txBox="1"/>
      </xdr:nvSpPr>
      <xdr:spPr>
        <a:xfrm>
          <a:off x="6050081" y="15451267"/>
          <a:ext cx="223838"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8C9E5B8-1027-40E7-BB90-D190BB9F4A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365243</xdr:colOff>
      <xdr:row>94</xdr:row>
      <xdr:rowOff>146179</xdr:rowOff>
    </xdr:from>
    <xdr:to>
      <xdr:col>1</xdr:col>
      <xdr:colOff>584318</xdr:colOff>
      <xdr:row>96</xdr:row>
      <xdr:rowOff>52760</xdr:rowOff>
    </xdr:to>
    <xdr:sp macro="" textlink="計算シート!H20">
      <xdr:nvSpPr>
        <xdr:cNvPr id="155" name="テキスト ボックス 154">
          <a:extLst>
            <a:ext uri="{FF2B5EF4-FFF2-40B4-BE49-F238E27FC236}">
              <a16:creationId xmlns:a16="http://schemas.microsoft.com/office/drawing/2014/main" id="{00000000-0008-0000-0A00-00009B000000}"/>
            </a:ext>
          </a:extLst>
        </xdr:cNvPr>
        <xdr:cNvSpPr txBox="1"/>
      </xdr:nvSpPr>
      <xdr:spPr>
        <a:xfrm>
          <a:off x="1055806" y="15814804"/>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0BB925F-06A4-46C0-92B9-76C3533420B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306505</xdr:colOff>
      <xdr:row>94</xdr:row>
      <xdr:rowOff>146179</xdr:rowOff>
    </xdr:from>
    <xdr:to>
      <xdr:col>2</xdr:col>
      <xdr:colOff>525580</xdr:colOff>
      <xdr:row>96</xdr:row>
      <xdr:rowOff>52760</xdr:rowOff>
    </xdr:to>
    <xdr:sp macro="" textlink="計算シート!I20">
      <xdr:nvSpPr>
        <xdr:cNvPr id="156" name="テキスト ボックス 155">
          <a:extLst>
            <a:ext uri="{FF2B5EF4-FFF2-40B4-BE49-F238E27FC236}">
              <a16:creationId xmlns:a16="http://schemas.microsoft.com/office/drawing/2014/main" id="{00000000-0008-0000-0A00-00009C000000}"/>
            </a:ext>
          </a:extLst>
        </xdr:cNvPr>
        <xdr:cNvSpPr txBox="1"/>
      </xdr:nvSpPr>
      <xdr:spPr>
        <a:xfrm>
          <a:off x="1687630" y="15814804"/>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A442D1C-032F-4FB0-9C6A-EAD82E96A94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366831</xdr:colOff>
      <xdr:row>94</xdr:row>
      <xdr:rowOff>146179</xdr:rowOff>
    </xdr:from>
    <xdr:to>
      <xdr:col>3</xdr:col>
      <xdr:colOff>585906</xdr:colOff>
      <xdr:row>96</xdr:row>
      <xdr:rowOff>52760</xdr:rowOff>
    </xdr:to>
    <xdr:sp macro="" textlink="計算シート!J20">
      <xdr:nvSpPr>
        <xdr:cNvPr id="157" name="テキスト ボックス 156">
          <a:extLst>
            <a:ext uri="{FF2B5EF4-FFF2-40B4-BE49-F238E27FC236}">
              <a16:creationId xmlns:a16="http://schemas.microsoft.com/office/drawing/2014/main" id="{00000000-0008-0000-0A00-00009D000000}"/>
            </a:ext>
          </a:extLst>
        </xdr:cNvPr>
        <xdr:cNvSpPr txBox="1"/>
      </xdr:nvSpPr>
      <xdr:spPr>
        <a:xfrm>
          <a:off x="2438519" y="15814804"/>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5D0F420-6F1D-4E78-AC84-E5078149909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331905</xdr:colOff>
      <xdr:row>94</xdr:row>
      <xdr:rowOff>146179</xdr:rowOff>
    </xdr:from>
    <xdr:to>
      <xdr:col>4</xdr:col>
      <xdr:colOff>550980</xdr:colOff>
      <xdr:row>96</xdr:row>
      <xdr:rowOff>52760</xdr:rowOff>
    </xdr:to>
    <xdr:sp macro="" textlink="計算シート!K20">
      <xdr:nvSpPr>
        <xdr:cNvPr id="158" name="テキスト ボックス 157">
          <a:extLst>
            <a:ext uri="{FF2B5EF4-FFF2-40B4-BE49-F238E27FC236}">
              <a16:creationId xmlns:a16="http://schemas.microsoft.com/office/drawing/2014/main" id="{00000000-0008-0000-0A00-00009E000000}"/>
            </a:ext>
          </a:extLst>
        </xdr:cNvPr>
        <xdr:cNvSpPr txBox="1"/>
      </xdr:nvSpPr>
      <xdr:spPr>
        <a:xfrm>
          <a:off x="3094155" y="15814804"/>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356BBFE-2B49-4E99-B563-155758B6D3C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539867</xdr:colOff>
      <xdr:row>94</xdr:row>
      <xdr:rowOff>146179</xdr:rowOff>
    </xdr:from>
    <xdr:to>
      <xdr:col>7</xdr:col>
      <xdr:colOff>81080</xdr:colOff>
      <xdr:row>96</xdr:row>
      <xdr:rowOff>52760</xdr:rowOff>
    </xdr:to>
    <xdr:sp macro="" textlink="計算シート!H26">
      <xdr:nvSpPr>
        <xdr:cNvPr id="159" name="テキスト ボックス 158">
          <a:extLst>
            <a:ext uri="{FF2B5EF4-FFF2-40B4-BE49-F238E27FC236}">
              <a16:creationId xmlns:a16="http://schemas.microsoft.com/office/drawing/2014/main" id="{00000000-0008-0000-0A00-00009F000000}"/>
            </a:ext>
          </a:extLst>
        </xdr:cNvPr>
        <xdr:cNvSpPr txBox="1"/>
      </xdr:nvSpPr>
      <xdr:spPr>
        <a:xfrm>
          <a:off x="4683242" y="15814804"/>
          <a:ext cx="231776"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6DD34631-AFE3-47C1-B55B-08088733173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473193</xdr:colOff>
      <xdr:row>94</xdr:row>
      <xdr:rowOff>146179</xdr:rowOff>
    </xdr:from>
    <xdr:to>
      <xdr:col>8</xdr:col>
      <xdr:colOff>6468</xdr:colOff>
      <xdr:row>96</xdr:row>
      <xdr:rowOff>52760</xdr:rowOff>
    </xdr:to>
    <xdr:sp macro="" textlink="計算シート!I26">
      <xdr:nvSpPr>
        <xdr:cNvPr id="160" name="テキスト ボックス 159">
          <a:extLst>
            <a:ext uri="{FF2B5EF4-FFF2-40B4-BE49-F238E27FC236}">
              <a16:creationId xmlns:a16="http://schemas.microsoft.com/office/drawing/2014/main" id="{00000000-0008-0000-0A00-0000A0000000}"/>
            </a:ext>
          </a:extLst>
        </xdr:cNvPr>
        <xdr:cNvSpPr txBox="1"/>
      </xdr:nvSpPr>
      <xdr:spPr>
        <a:xfrm>
          <a:off x="5307131" y="15814804"/>
          <a:ext cx="223837"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CD85BEA-9519-41BD-B307-500786AF528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533518</xdr:colOff>
      <xdr:row>94</xdr:row>
      <xdr:rowOff>146179</xdr:rowOff>
    </xdr:from>
    <xdr:to>
      <xdr:col>9</xdr:col>
      <xdr:colOff>74731</xdr:colOff>
      <xdr:row>96</xdr:row>
      <xdr:rowOff>52760</xdr:rowOff>
    </xdr:to>
    <xdr:sp macro="" textlink="計算シート!J26">
      <xdr:nvSpPr>
        <xdr:cNvPr id="161" name="テキスト ボックス 160">
          <a:extLst>
            <a:ext uri="{FF2B5EF4-FFF2-40B4-BE49-F238E27FC236}">
              <a16:creationId xmlns:a16="http://schemas.microsoft.com/office/drawing/2014/main" id="{00000000-0008-0000-0A00-0000A1000000}"/>
            </a:ext>
          </a:extLst>
        </xdr:cNvPr>
        <xdr:cNvSpPr txBox="1"/>
      </xdr:nvSpPr>
      <xdr:spPr>
        <a:xfrm>
          <a:off x="6058018" y="15814804"/>
          <a:ext cx="231776"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366BB4B-B947-401F-8D22-6C13E710E7C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357305</xdr:colOff>
      <xdr:row>96</xdr:row>
      <xdr:rowOff>160467</xdr:rowOff>
    </xdr:from>
    <xdr:to>
      <xdr:col>1</xdr:col>
      <xdr:colOff>576380</xdr:colOff>
      <xdr:row>98</xdr:row>
      <xdr:rowOff>59111</xdr:rowOff>
    </xdr:to>
    <xdr:sp macro="" textlink="計算シート!H21">
      <xdr:nvSpPr>
        <xdr:cNvPr id="162" name="テキスト ボックス 161">
          <a:extLst>
            <a:ext uri="{FF2B5EF4-FFF2-40B4-BE49-F238E27FC236}">
              <a16:creationId xmlns:a16="http://schemas.microsoft.com/office/drawing/2014/main" id="{00000000-0008-0000-0A00-0000A2000000}"/>
            </a:ext>
          </a:extLst>
        </xdr:cNvPr>
        <xdr:cNvSpPr txBox="1"/>
      </xdr:nvSpPr>
      <xdr:spPr>
        <a:xfrm>
          <a:off x="1047868" y="16162467"/>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6624540-36B6-4E8F-A1E2-9C15B7FD69D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96</xdr:row>
      <xdr:rowOff>160467</xdr:rowOff>
    </xdr:from>
    <xdr:to>
      <xdr:col>2</xdr:col>
      <xdr:colOff>517642</xdr:colOff>
      <xdr:row>98</xdr:row>
      <xdr:rowOff>59111</xdr:rowOff>
    </xdr:to>
    <xdr:sp macro="" textlink="計算シート!I21">
      <xdr:nvSpPr>
        <xdr:cNvPr id="163" name="テキスト ボックス 162">
          <a:extLst>
            <a:ext uri="{FF2B5EF4-FFF2-40B4-BE49-F238E27FC236}">
              <a16:creationId xmlns:a16="http://schemas.microsoft.com/office/drawing/2014/main" id="{00000000-0008-0000-0A00-0000A3000000}"/>
            </a:ext>
          </a:extLst>
        </xdr:cNvPr>
        <xdr:cNvSpPr txBox="1"/>
      </xdr:nvSpPr>
      <xdr:spPr>
        <a:xfrm>
          <a:off x="1679692" y="16162467"/>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24DE37A-F4E7-4564-BAB0-6951A7B4D82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358893</xdr:colOff>
      <xdr:row>96</xdr:row>
      <xdr:rowOff>160467</xdr:rowOff>
    </xdr:from>
    <xdr:to>
      <xdr:col>3</xdr:col>
      <xdr:colOff>577968</xdr:colOff>
      <xdr:row>98</xdr:row>
      <xdr:rowOff>59111</xdr:rowOff>
    </xdr:to>
    <xdr:sp macro="" textlink="計算シート!J21">
      <xdr:nvSpPr>
        <xdr:cNvPr id="164" name="テキスト ボックス 163">
          <a:extLst>
            <a:ext uri="{FF2B5EF4-FFF2-40B4-BE49-F238E27FC236}">
              <a16:creationId xmlns:a16="http://schemas.microsoft.com/office/drawing/2014/main" id="{00000000-0008-0000-0A00-0000A4000000}"/>
            </a:ext>
          </a:extLst>
        </xdr:cNvPr>
        <xdr:cNvSpPr txBox="1"/>
      </xdr:nvSpPr>
      <xdr:spPr>
        <a:xfrm>
          <a:off x="2430581" y="16162467"/>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466499D-930F-43CB-B50D-33A7AC95EB3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323967</xdr:colOff>
      <xdr:row>96</xdr:row>
      <xdr:rowOff>160467</xdr:rowOff>
    </xdr:from>
    <xdr:to>
      <xdr:col>4</xdr:col>
      <xdr:colOff>543042</xdr:colOff>
      <xdr:row>98</xdr:row>
      <xdr:rowOff>59111</xdr:rowOff>
    </xdr:to>
    <xdr:sp macro="" textlink="計算シート!K21">
      <xdr:nvSpPr>
        <xdr:cNvPr id="165" name="テキスト ボックス 164">
          <a:extLst>
            <a:ext uri="{FF2B5EF4-FFF2-40B4-BE49-F238E27FC236}">
              <a16:creationId xmlns:a16="http://schemas.microsoft.com/office/drawing/2014/main" id="{00000000-0008-0000-0A00-0000A5000000}"/>
            </a:ext>
          </a:extLst>
        </xdr:cNvPr>
        <xdr:cNvSpPr txBox="1"/>
      </xdr:nvSpPr>
      <xdr:spPr>
        <a:xfrm>
          <a:off x="3086217" y="16162467"/>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AEFF99C-3CC5-4653-A33A-01C05CDE977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531929</xdr:colOff>
      <xdr:row>96</xdr:row>
      <xdr:rowOff>160467</xdr:rowOff>
    </xdr:from>
    <xdr:to>
      <xdr:col>7</xdr:col>
      <xdr:colOff>73142</xdr:colOff>
      <xdr:row>98</xdr:row>
      <xdr:rowOff>59111</xdr:rowOff>
    </xdr:to>
    <xdr:sp macro="" textlink="計算シート!H27">
      <xdr:nvSpPr>
        <xdr:cNvPr id="166" name="テキスト ボックス 165">
          <a:extLst>
            <a:ext uri="{FF2B5EF4-FFF2-40B4-BE49-F238E27FC236}">
              <a16:creationId xmlns:a16="http://schemas.microsoft.com/office/drawing/2014/main" id="{00000000-0008-0000-0A00-0000A6000000}"/>
            </a:ext>
          </a:extLst>
        </xdr:cNvPr>
        <xdr:cNvSpPr txBox="1"/>
      </xdr:nvSpPr>
      <xdr:spPr>
        <a:xfrm>
          <a:off x="4675304" y="16162467"/>
          <a:ext cx="231776"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0784A11-7185-4B3A-82BF-38637C141A4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465255</xdr:colOff>
      <xdr:row>96</xdr:row>
      <xdr:rowOff>160467</xdr:rowOff>
    </xdr:from>
    <xdr:to>
      <xdr:col>7</xdr:col>
      <xdr:colOff>684330</xdr:colOff>
      <xdr:row>98</xdr:row>
      <xdr:rowOff>59111</xdr:rowOff>
    </xdr:to>
    <xdr:sp macro="" textlink="計算シート!I27">
      <xdr:nvSpPr>
        <xdr:cNvPr id="167" name="テキスト ボックス 166">
          <a:extLst>
            <a:ext uri="{FF2B5EF4-FFF2-40B4-BE49-F238E27FC236}">
              <a16:creationId xmlns:a16="http://schemas.microsoft.com/office/drawing/2014/main" id="{00000000-0008-0000-0A00-0000A7000000}"/>
            </a:ext>
          </a:extLst>
        </xdr:cNvPr>
        <xdr:cNvSpPr txBox="1"/>
      </xdr:nvSpPr>
      <xdr:spPr>
        <a:xfrm>
          <a:off x="5299193" y="16162467"/>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4F08A1F-B09F-49A9-A5AD-6AB83695513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525580</xdr:colOff>
      <xdr:row>96</xdr:row>
      <xdr:rowOff>160467</xdr:rowOff>
    </xdr:from>
    <xdr:to>
      <xdr:col>9</xdr:col>
      <xdr:colOff>58855</xdr:colOff>
      <xdr:row>98</xdr:row>
      <xdr:rowOff>59111</xdr:rowOff>
    </xdr:to>
    <xdr:sp macro="" textlink="計算シート!J27">
      <xdr:nvSpPr>
        <xdr:cNvPr id="168" name="テキスト ボックス 167">
          <a:extLst>
            <a:ext uri="{FF2B5EF4-FFF2-40B4-BE49-F238E27FC236}">
              <a16:creationId xmlns:a16="http://schemas.microsoft.com/office/drawing/2014/main" id="{00000000-0008-0000-0A00-0000A8000000}"/>
            </a:ext>
          </a:extLst>
        </xdr:cNvPr>
        <xdr:cNvSpPr txBox="1"/>
      </xdr:nvSpPr>
      <xdr:spPr>
        <a:xfrm>
          <a:off x="6050080" y="16162467"/>
          <a:ext cx="223838"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CAA7D67-64EC-4DB4-A41D-ABA89BDAE04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357305</xdr:colOff>
      <xdr:row>99</xdr:row>
      <xdr:rowOff>23941</xdr:rowOff>
    </xdr:from>
    <xdr:to>
      <xdr:col>1</xdr:col>
      <xdr:colOff>576380</xdr:colOff>
      <xdr:row>100</xdr:row>
      <xdr:rowOff>89273</xdr:rowOff>
    </xdr:to>
    <xdr:sp macro="" textlink="計算シート!H22">
      <xdr:nvSpPr>
        <xdr:cNvPr id="169" name="テキスト ボックス 168">
          <a:extLst>
            <a:ext uri="{FF2B5EF4-FFF2-40B4-BE49-F238E27FC236}">
              <a16:creationId xmlns:a16="http://schemas.microsoft.com/office/drawing/2014/main" id="{00000000-0008-0000-0A00-0000A9000000}"/>
            </a:ext>
          </a:extLst>
        </xdr:cNvPr>
        <xdr:cNvSpPr txBox="1"/>
      </xdr:nvSpPr>
      <xdr:spPr>
        <a:xfrm>
          <a:off x="1047868" y="16526004"/>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A8C334-2BE1-420E-A0BE-6BF68B89BCB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99</xdr:row>
      <xdr:rowOff>23941</xdr:rowOff>
    </xdr:from>
    <xdr:to>
      <xdr:col>2</xdr:col>
      <xdr:colOff>517642</xdr:colOff>
      <xdr:row>100</xdr:row>
      <xdr:rowOff>89273</xdr:rowOff>
    </xdr:to>
    <xdr:sp macro="" textlink="計算シート!I22">
      <xdr:nvSpPr>
        <xdr:cNvPr id="170" name="テキスト ボックス 169">
          <a:extLst>
            <a:ext uri="{FF2B5EF4-FFF2-40B4-BE49-F238E27FC236}">
              <a16:creationId xmlns:a16="http://schemas.microsoft.com/office/drawing/2014/main" id="{00000000-0008-0000-0A00-0000AA000000}"/>
            </a:ext>
          </a:extLst>
        </xdr:cNvPr>
        <xdr:cNvSpPr txBox="1"/>
      </xdr:nvSpPr>
      <xdr:spPr>
        <a:xfrm>
          <a:off x="1679692" y="16526004"/>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7FE7C65-6558-47AB-84A9-D430F8DDBD16}"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358893</xdr:colOff>
      <xdr:row>99</xdr:row>
      <xdr:rowOff>23941</xdr:rowOff>
    </xdr:from>
    <xdr:to>
      <xdr:col>3</xdr:col>
      <xdr:colOff>577968</xdr:colOff>
      <xdr:row>100</xdr:row>
      <xdr:rowOff>89273</xdr:rowOff>
    </xdr:to>
    <xdr:sp macro="" textlink="計算シート!J22">
      <xdr:nvSpPr>
        <xdr:cNvPr id="171" name="テキスト ボックス 170">
          <a:extLst>
            <a:ext uri="{FF2B5EF4-FFF2-40B4-BE49-F238E27FC236}">
              <a16:creationId xmlns:a16="http://schemas.microsoft.com/office/drawing/2014/main" id="{00000000-0008-0000-0A00-0000AB000000}"/>
            </a:ext>
          </a:extLst>
        </xdr:cNvPr>
        <xdr:cNvSpPr txBox="1"/>
      </xdr:nvSpPr>
      <xdr:spPr>
        <a:xfrm>
          <a:off x="2430581" y="16526004"/>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1F0873-9C8B-4D18-A39A-E75B055F45B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323967</xdr:colOff>
      <xdr:row>99</xdr:row>
      <xdr:rowOff>23941</xdr:rowOff>
    </xdr:from>
    <xdr:to>
      <xdr:col>4</xdr:col>
      <xdr:colOff>543042</xdr:colOff>
      <xdr:row>100</xdr:row>
      <xdr:rowOff>89273</xdr:rowOff>
    </xdr:to>
    <xdr:sp macro="" textlink="計算シート!K22">
      <xdr:nvSpPr>
        <xdr:cNvPr id="172" name="テキスト ボックス 171">
          <a:extLst>
            <a:ext uri="{FF2B5EF4-FFF2-40B4-BE49-F238E27FC236}">
              <a16:creationId xmlns:a16="http://schemas.microsoft.com/office/drawing/2014/main" id="{00000000-0008-0000-0A00-0000AC000000}"/>
            </a:ext>
          </a:extLst>
        </xdr:cNvPr>
        <xdr:cNvSpPr txBox="1"/>
      </xdr:nvSpPr>
      <xdr:spPr>
        <a:xfrm>
          <a:off x="3086217" y="16526004"/>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12E926E-4592-4078-8A1D-C71E2D6E889B}"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531929</xdr:colOff>
      <xdr:row>99</xdr:row>
      <xdr:rowOff>23941</xdr:rowOff>
    </xdr:from>
    <xdr:to>
      <xdr:col>7</xdr:col>
      <xdr:colOff>73142</xdr:colOff>
      <xdr:row>100</xdr:row>
      <xdr:rowOff>89273</xdr:rowOff>
    </xdr:to>
    <xdr:sp macro="" textlink="計算シート!H28">
      <xdr:nvSpPr>
        <xdr:cNvPr id="173" name="テキスト ボックス 172">
          <a:extLst>
            <a:ext uri="{FF2B5EF4-FFF2-40B4-BE49-F238E27FC236}">
              <a16:creationId xmlns:a16="http://schemas.microsoft.com/office/drawing/2014/main" id="{00000000-0008-0000-0A00-0000AD000000}"/>
            </a:ext>
          </a:extLst>
        </xdr:cNvPr>
        <xdr:cNvSpPr txBox="1"/>
      </xdr:nvSpPr>
      <xdr:spPr>
        <a:xfrm>
          <a:off x="4675304" y="16526004"/>
          <a:ext cx="231776"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434EBB6-0C03-4F75-BD9D-ADEBF8E5753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104892</xdr:colOff>
      <xdr:row>99</xdr:row>
      <xdr:rowOff>16004</xdr:rowOff>
    </xdr:from>
    <xdr:to>
      <xdr:col>8</xdr:col>
      <xdr:colOff>323967</xdr:colOff>
      <xdr:row>100</xdr:row>
      <xdr:rowOff>81336</xdr:rowOff>
    </xdr:to>
    <xdr:sp macro="" textlink="計算シート!I28">
      <xdr:nvSpPr>
        <xdr:cNvPr id="174" name="テキスト ボックス 173">
          <a:extLst>
            <a:ext uri="{FF2B5EF4-FFF2-40B4-BE49-F238E27FC236}">
              <a16:creationId xmlns:a16="http://schemas.microsoft.com/office/drawing/2014/main" id="{00000000-0008-0000-0A00-0000AE000000}"/>
            </a:ext>
          </a:extLst>
        </xdr:cNvPr>
        <xdr:cNvSpPr txBox="1"/>
      </xdr:nvSpPr>
      <xdr:spPr>
        <a:xfrm>
          <a:off x="5629392" y="16518067"/>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426960E-A474-42D4-ADDD-329BF756E23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331905</xdr:colOff>
      <xdr:row>99</xdr:row>
      <xdr:rowOff>8066</xdr:rowOff>
    </xdr:from>
    <xdr:to>
      <xdr:col>9</xdr:col>
      <xdr:colOff>550980</xdr:colOff>
      <xdr:row>100</xdr:row>
      <xdr:rowOff>73398</xdr:rowOff>
    </xdr:to>
    <xdr:sp macro="" textlink="計算シート!J28">
      <xdr:nvSpPr>
        <xdr:cNvPr id="175" name="テキスト ボックス 174">
          <a:extLst>
            <a:ext uri="{FF2B5EF4-FFF2-40B4-BE49-F238E27FC236}">
              <a16:creationId xmlns:a16="http://schemas.microsoft.com/office/drawing/2014/main" id="{00000000-0008-0000-0A00-0000AF000000}"/>
            </a:ext>
          </a:extLst>
        </xdr:cNvPr>
        <xdr:cNvSpPr txBox="1"/>
      </xdr:nvSpPr>
      <xdr:spPr>
        <a:xfrm>
          <a:off x="6546968" y="16510129"/>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AA47179-89CA-434A-96D7-676727F5C16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546218</xdr:colOff>
      <xdr:row>94</xdr:row>
      <xdr:rowOff>138241</xdr:rowOff>
    </xdr:from>
    <xdr:to>
      <xdr:col>10</xdr:col>
      <xdr:colOff>87430</xdr:colOff>
      <xdr:row>96</xdr:row>
      <xdr:rowOff>44822</xdr:rowOff>
    </xdr:to>
    <xdr:sp macro="" textlink="計算シート!K26">
      <xdr:nvSpPr>
        <xdr:cNvPr id="176" name="テキスト ボックス 175">
          <a:extLst>
            <a:ext uri="{FF2B5EF4-FFF2-40B4-BE49-F238E27FC236}">
              <a16:creationId xmlns:a16="http://schemas.microsoft.com/office/drawing/2014/main" id="{00000000-0008-0000-0A00-0000B0000000}"/>
            </a:ext>
          </a:extLst>
        </xdr:cNvPr>
        <xdr:cNvSpPr txBox="1"/>
      </xdr:nvSpPr>
      <xdr:spPr>
        <a:xfrm>
          <a:off x="6761281" y="15806866"/>
          <a:ext cx="231774"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DB42D90-402D-4AC3-8547-9FE89A3AE46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546218</xdr:colOff>
      <xdr:row>97</xdr:row>
      <xdr:rowOff>1716</xdr:rowOff>
    </xdr:from>
    <xdr:to>
      <xdr:col>10</xdr:col>
      <xdr:colOff>87430</xdr:colOff>
      <xdr:row>98</xdr:row>
      <xdr:rowOff>67048</xdr:rowOff>
    </xdr:to>
    <xdr:sp macro="" textlink="計算シート!K27">
      <xdr:nvSpPr>
        <xdr:cNvPr id="177" name="テキスト ボックス 176">
          <a:extLst>
            <a:ext uri="{FF2B5EF4-FFF2-40B4-BE49-F238E27FC236}">
              <a16:creationId xmlns:a16="http://schemas.microsoft.com/office/drawing/2014/main" id="{00000000-0008-0000-0A00-0000B1000000}"/>
            </a:ext>
          </a:extLst>
        </xdr:cNvPr>
        <xdr:cNvSpPr txBox="1"/>
      </xdr:nvSpPr>
      <xdr:spPr>
        <a:xfrm>
          <a:off x="6761281" y="16170404"/>
          <a:ext cx="231774"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0CF7642-DA74-477C-ADF9-4D289AE127E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357305</xdr:colOff>
      <xdr:row>102</xdr:row>
      <xdr:rowOff>68391</xdr:rowOff>
    </xdr:from>
    <xdr:to>
      <xdr:col>1</xdr:col>
      <xdr:colOff>576380</xdr:colOff>
      <xdr:row>103</xdr:row>
      <xdr:rowOff>146422</xdr:rowOff>
    </xdr:to>
    <xdr:sp macro="" textlink="計算シート!H29">
      <xdr:nvSpPr>
        <xdr:cNvPr id="178" name="テキスト ボックス 177">
          <a:extLst>
            <a:ext uri="{FF2B5EF4-FFF2-40B4-BE49-F238E27FC236}">
              <a16:creationId xmlns:a16="http://schemas.microsoft.com/office/drawing/2014/main" id="{00000000-0008-0000-0A00-0000B2000000}"/>
            </a:ext>
          </a:extLst>
        </xdr:cNvPr>
        <xdr:cNvSpPr txBox="1"/>
      </xdr:nvSpPr>
      <xdr:spPr>
        <a:xfrm>
          <a:off x="1047868" y="17070516"/>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575DB6B-2B7F-4BCD-AEB4-026ED4EE6EE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102</xdr:row>
      <xdr:rowOff>68391</xdr:rowOff>
    </xdr:from>
    <xdr:to>
      <xdr:col>2</xdr:col>
      <xdr:colOff>517642</xdr:colOff>
      <xdr:row>103</xdr:row>
      <xdr:rowOff>146422</xdr:rowOff>
    </xdr:to>
    <xdr:sp macro="" textlink="計算シート!I29">
      <xdr:nvSpPr>
        <xdr:cNvPr id="179" name="テキスト ボックス 178">
          <a:extLst>
            <a:ext uri="{FF2B5EF4-FFF2-40B4-BE49-F238E27FC236}">
              <a16:creationId xmlns:a16="http://schemas.microsoft.com/office/drawing/2014/main" id="{00000000-0008-0000-0A00-0000B3000000}"/>
            </a:ext>
          </a:extLst>
        </xdr:cNvPr>
        <xdr:cNvSpPr txBox="1"/>
      </xdr:nvSpPr>
      <xdr:spPr>
        <a:xfrm>
          <a:off x="1679692" y="17070516"/>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D58332-768D-40EE-8E4E-ADDB3C5EFD3C}"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358893</xdr:colOff>
      <xdr:row>102</xdr:row>
      <xdr:rowOff>68391</xdr:rowOff>
    </xdr:from>
    <xdr:to>
      <xdr:col>3</xdr:col>
      <xdr:colOff>577968</xdr:colOff>
      <xdr:row>103</xdr:row>
      <xdr:rowOff>146422</xdr:rowOff>
    </xdr:to>
    <xdr:sp macro="" textlink="計算シート!J29">
      <xdr:nvSpPr>
        <xdr:cNvPr id="180" name="テキスト ボックス 179">
          <a:extLst>
            <a:ext uri="{FF2B5EF4-FFF2-40B4-BE49-F238E27FC236}">
              <a16:creationId xmlns:a16="http://schemas.microsoft.com/office/drawing/2014/main" id="{00000000-0008-0000-0A00-0000B4000000}"/>
            </a:ext>
          </a:extLst>
        </xdr:cNvPr>
        <xdr:cNvSpPr txBox="1"/>
      </xdr:nvSpPr>
      <xdr:spPr>
        <a:xfrm>
          <a:off x="2430581" y="17070516"/>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B7DF3B8-5354-4A62-9CE8-8B84A96D23A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4</xdr:col>
      <xdr:colOff>331905</xdr:colOff>
      <xdr:row>102</xdr:row>
      <xdr:rowOff>68391</xdr:rowOff>
    </xdr:from>
    <xdr:to>
      <xdr:col>4</xdr:col>
      <xdr:colOff>550980</xdr:colOff>
      <xdr:row>103</xdr:row>
      <xdr:rowOff>146422</xdr:rowOff>
    </xdr:to>
    <xdr:sp macro="" textlink="計算シート!K29">
      <xdr:nvSpPr>
        <xdr:cNvPr id="181" name="テキスト ボックス 180">
          <a:extLst>
            <a:ext uri="{FF2B5EF4-FFF2-40B4-BE49-F238E27FC236}">
              <a16:creationId xmlns:a16="http://schemas.microsoft.com/office/drawing/2014/main" id="{00000000-0008-0000-0A00-0000B5000000}"/>
            </a:ext>
          </a:extLst>
        </xdr:cNvPr>
        <xdr:cNvSpPr txBox="1"/>
      </xdr:nvSpPr>
      <xdr:spPr>
        <a:xfrm>
          <a:off x="3094155" y="17070516"/>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878C9EB-0B08-45CC-8588-4536C479E78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104</xdr:row>
      <xdr:rowOff>90616</xdr:rowOff>
    </xdr:from>
    <xdr:to>
      <xdr:col>2</xdr:col>
      <xdr:colOff>517642</xdr:colOff>
      <xdr:row>106</xdr:row>
      <xdr:rowOff>1960</xdr:rowOff>
    </xdr:to>
    <xdr:sp macro="" textlink="計算シート!H30">
      <xdr:nvSpPr>
        <xdr:cNvPr id="182" name="テキスト ボックス 181">
          <a:extLst>
            <a:ext uri="{FF2B5EF4-FFF2-40B4-BE49-F238E27FC236}">
              <a16:creationId xmlns:a16="http://schemas.microsoft.com/office/drawing/2014/main" id="{00000000-0008-0000-0A00-0000B6000000}"/>
            </a:ext>
          </a:extLst>
        </xdr:cNvPr>
        <xdr:cNvSpPr txBox="1"/>
      </xdr:nvSpPr>
      <xdr:spPr>
        <a:xfrm>
          <a:off x="1679692" y="17426116"/>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E7E88C0-7E7D-4A96-8EB3-0D672CC58EB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358893</xdr:colOff>
      <xdr:row>104</xdr:row>
      <xdr:rowOff>90616</xdr:rowOff>
    </xdr:from>
    <xdr:to>
      <xdr:col>3</xdr:col>
      <xdr:colOff>577968</xdr:colOff>
      <xdr:row>106</xdr:row>
      <xdr:rowOff>1960</xdr:rowOff>
    </xdr:to>
    <xdr:sp macro="" textlink="計算シート!I30">
      <xdr:nvSpPr>
        <xdr:cNvPr id="183" name="テキスト ボックス 182">
          <a:extLst>
            <a:ext uri="{FF2B5EF4-FFF2-40B4-BE49-F238E27FC236}">
              <a16:creationId xmlns:a16="http://schemas.microsoft.com/office/drawing/2014/main" id="{00000000-0008-0000-0A00-0000B7000000}"/>
            </a:ext>
          </a:extLst>
        </xdr:cNvPr>
        <xdr:cNvSpPr txBox="1"/>
      </xdr:nvSpPr>
      <xdr:spPr>
        <a:xfrm>
          <a:off x="2430581" y="17426116"/>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05B0C5F-6552-494B-BD93-ECF012C7499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106</xdr:row>
      <xdr:rowOff>112841</xdr:rowOff>
    </xdr:from>
    <xdr:to>
      <xdr:col>2</xdr:col>
      <xdr:colOff>517642</xdr:colOff>
      <xdr:row>108</xdr:row>
      <xdr:rowOff>16248</xdr:rowOff>
    </xdr:to>
    <xdr:sp macro="" textlink="計算シート!H31">
      <xdr:nvSpPr>
        <xdr:cNvPr id="184" name="テキスト ボックス 183">
          <a:extLst>
            <a:ext uri="{FF2B5EF4-FFF2-40B4-BE49-F238E27FC236}">
              <a16:creationId xmlns:a16="http://schemas.microsoft.com/office/drawing/2014/main" id="{00000000-0008-0000-0A00-0000B8000000}"/>
            </a:ext>
          </a:extLst>
        </xdr:cNvPr>
        <xdr:cNvSpPr txBox="1"/>
      </xdr:nvSpPr>
      <xdr:spPr>
        <a:xfrm>
          <a:off x="1679692" y="17781716"/>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9FAD8E8-01C0-4FAF-93D8-F6DF96F0954B}"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358893</xdr:colOff>
      <xdr:row>106</xdr:row>
      <xdr:rowOff>112841</xdr:rowOff>
    </xdr:from>
    <xdr:to>
      <xdr:col>3</xdr:col>
      <xdr:colOff>577968</xdr:colOff>
      <xdr:row>108</xdr:row>
      <xdr:rowOff>16248</xdr:rowOff>
    </xdr:to>
    <xdr:sp macro="" textlink="計算シート!I31">
      <xdr:nvSpPr>
        <xdr:cNvPr id="185" name="テキスト ボックス 184">
          <a:extLst>
            <a:ext uri="{FF2B5EF4-FFF2-40B4-BE49-F238E27FC236}">
              <a16:creationId xmlns:a16="http://schemas.microsoft.com/office/drawing/2014/main" id="{00000000-0008-0000-0A00-0000B9000000}"/>
            </a:ext>
          </a:extLst>
        </xdr:cNvPr>
        <xdr:cNvSpPr txBox="1"/>
      </xdr:nvSpPr>
      <xdr:spPr>
        <a:xfrm>
          <a:off x="2430581" y="17781716"/>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B1A2775-488B-4FF9-9252-B303B145EA5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108</xdr:row>
      <xdr:rowOff>127127</xdr:rowOff>
    </xdr:from>
    <xdr:to>
      <xdr:col>2</xdr:col>
      <xdr:colOff>517642</xdr:colOff>
      <xdr:row>110</xdr:row>
      <xdr:rowOff>25771</xdr:rowOff>
    </xdr:to>
    <xdr:sp macro="" textlink="計算シート!H32">
      <xdr:nvSpPr>
        <xdr:cNvPr id="186" name="テキスト ボックス 185">
          <a:extLst>
            <a:ext uri="{FF2B5EF4-FFF2-40B4-BE49-F238E27FC236}">
              <a16:creationId xmlns:a16="http://schemas.microsoft.com/office/drawing/2014/main" id="{00000000-0008-0000-0A00-0000BA000000}"/>
            </a:ext>
          </a:extLst>
        </xdr:cNvPr>
        <xdr:cNvSpPr txBox="1"/>
      </xdr:nvSpPr>
      <xdr:spPr>
        <a:xfrm>
          <a:off x="1679692" y="18129377"/>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CADF08B-07D1-4D2D-88F6-78DFBE5807B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358893</xdr:colOff>
      <xdr:row>108</xdr:row>
      <xdr:rowOff>127127</xdr:rowOff>
    </xdr:from>
    <xdr:to>
      <xdr:col>3</xdr:col>
      <xdr:colOff>577968</xdr:colOff>
      <xdr:row>110</xdr:row>
      <xdr:rowOff>25771</xdr:rowOff>
    </xdr:to>
    <xdr:sp macro="" textlink="計算シート!I32">
      <xdr:nvSpPr>
        <xdr:cNvPr id="187" name="テキスト ボックス 186">
          <a:extLst>
            <a:ext uri="{FF2B5EF4-FFF2-40B4-BE49-F238E27FC236}">
              <a16:creationId xmlns:a16="http://schemas.microsoft.com/office/drawing/2014/main" id="{00000000-0008-0000-0A00-0000BB000000}"/>
            </a:ext>
          </a:extLst>
        </xdr:cNvPr>
        <xdr:cNvSpPr txBox="1"/>
      </xdr:nvSpPr>
      <xdr:spPr>
        <a:xfrm>
          <a:off x="2430581" y="18129377"/>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87F2331-5231-445A-9C37-17B84E46D601}"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110</xdr:row>
      <xdr:rowOff>157290</xdr:rowOff>
    </xdr:from>
    <xdr:to>
      <xdr:col>2</xdr:col>
      <xdr:colOff>517642</xdr:colOff>
      <xdr:row>112</xdr:row>
      <xdr:rowOff>55934</xdr:rowOff>
    </xdr:to>
    <xdr:sp macro="" textlink="計算シート!H33">
      <xdr:nvSpPr>
        <xdr:cNvPr id="188" name="テキスト ボックス 187">
          <a:extLst>
            <a:ext uri="{FF2B5EF4-FFF2-40B4-BE49-F238E27FC236}">
              <a16:creationId xmlns:a16="http://schemas.microsoft.com/office/drawing/2014/main" id="{00000000-0008-0000-0A00-0000BC000000}"/>
            </a:ext>
          </a:extLst>
        </xdr:cNvPr>
        <xdr:cNvSpPr txBox="1"/>
      </xdr:nvSpPr>
      <xdr:spPr>
        <a:xfrm>
          <a:off x="1679692" y="18492915"/>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30C3E619-D662-417F-9EFC-4ADD5301AFB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358893</xdr:colOff>
      <xdr:row>110</xdr:row>
      <xdr:rowOff>157290</xdr:rowOff>
    </xdr:from>
    <xdr:to>
      <xdr:col>3</xdr:col>
      <xdr:colOff>577968</xdr:colOff>
      <xdr:row>112</xdr:row>
      <xdr:rowOff>55934</xdr:rowOff>
    </xdr:to>
    <xdr:sp macro="" textlink="計算シート!I33">
      <xdr:nvSpPr>
        <xdr:cNvPr id="189" name="テキスト ボックス 188">
          <a:extLst>
            <a:ext uri="{FF2B5EF4-FFF2-40B4-BE49-F238E27FC236}">
              <a16:creationId xmlns:a16="http://schemas.microsoft.com/office/drawing/2014/main" id="{00000000-0008-0000-0A00-0000BD000000}"/>
            </a:ext>
          </a:extLst>
        </xdr:cNvPr>
        <xdr:cNvSpPr txBox="1"/>
      </xdr:nvSpPr>
      <xdr:spPr>
        <a:xfrm>
          <a:off x="2430581" y="18492915"/>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1A8DFE-A6E6-494B-99AE-DFE61031503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457317</xdr:colOff>
      <xdr:row>102</xdr:row>
      <xdr:rowOff>68390</xdr:rowOff>
    </xdr:from>
    <xdr:to>
      <xdr:col>7</xdr:col>
      <xdr:colOff>676392</xdr:colOff>
      <xdr:row>103</xdr:row>
      <xdr:rowOff>146421</xdr:rowOff>
    </xdr:to>
    <xdr:sp macro="" textlink="計算シート!H34">
      <xdr:nvSpPr>
        <xdr:cNvPr id="190" name="テキスト ボックス 189">
          <a:extLst>
            <a:ext uri="{FF2B5EF4-FFF2-40B4-BE49-F238E27FC236}">
              <a16:creationId xmlns:a16="http://schemas.microsoft.com/office/drawing/2014/main" id="{00000000-0008-0000-0A00-0000BE000000}"/>
            </a:ext>
          </a:extLst>
        </xdr:cNvPr>
        <xdr:cNvSpPr txBox="1"/>
      </xdr:nvSpPr>
      <xdr:spPr>
        <a:xfrm>
          <a:off x="5291255" y="17070515"/>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3817750-9AFA-4DD6-A53D-7F8C89F3D0D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517642</xdr:colOff>
      <xdr:row>102</xdr:row>
      <xdr:rowOff>68390</xdr:rowOff>
    </xdr:from>
    <xdr:to>
      <xdr:col>9</xdr:col>
      <xdr:colOff>50917</xdr:colOff>
      <xdr:row>103</xdr:row>
      <xdr:rowOff>146421</xdr:rowOff>
    </xdr:to>
    <xdr:sp macro="" textlink="計算シート!I34">
      <xdr:nvSpPr>
        <xdr:cNvPr id="191" name="テキスト ボックス 190">
          <a:extLst>
            <a:ext uri="{FF2B5EF4-FFF2-40B4-BE49-F238E27FC236}">
              <a16:creationId xmlns:a16="http://schemas.microsoft.com/office/drawing/2014/main" id="{00000000-0008-0000-0A00-0000BF000000}"/>
            </a:ext>
          </a:extLst>
        </xdr:cNvPr>
        <xdr:cNvSpPr txBox="1"/>
      </xdr:nvSpPr>
      <xdr:spPr>
        <a:xfrm>
          <a:off x="6042142" y="17070515"/>
          <a:ext cx="223838"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55F59D7F-97A1-4C8E-8A48-E67A9D6D6A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457317</xdr:colOff>
      <xdr:row>104</xdr:row>
      <xdr:rowOff>90616</xdr:rowOff>
    </xdr:from>
    <xdr:to>
      <xdr:col>7</xdr:col>
      <xdr:colOff>676392</xdr:colOff>
      <xdr:row>106</xdr:row>
      <xdr:rowOff>1960</xdr:rowOff>
    </xdr:to>
    <xdr:sp macro="" textlink="計算シート!H35">
      <xdr:nvSpPr>
        <xdr:cNvPr id="192" name="テキスト ボックス 191">
          <a:extLst>
            <a:ext uri="{FF2B5EF4-FFF2-40B4-BE49-F238E27FC236}">
              <a16:creationId xmlns:a16="http://schemas.microsoft.com/office/drawing/2014/main" id="{00000000-0008-0000-0A00-0000C0000000}"/>
            </a:ext>
          </a:extLst>
        </xdr:cNvPr>
        <xdr:cNvSpPr txBox="1"/>
      </xdr:nvSpPr>
      <xdr:spPr>
        <a:xfrm>
          <a:off x="5291255" y="17426116"/>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8CD1E04-D1E1-469E-93FA-200526044E3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517642</xdr:colOff>
      <xdr:row>104</xdr:row>
      <xdr:rowOff>90616</xdr:rowOff>
    </xdr:from>
    <xdr:to>
      <xdr:col>9</xdr:col>
      <xdr:colOff>50917</xdr:colOff>
      <xdr:row>106</xdr:row>
      <xdr:rowOff>1960</xdr:rowOff>
    </xdr:to>
    <xdr:sp macro="" textlink="計算シート!I35">
      <xdr:nvSpPr>
        <xdr:cNvPr id="193" name="テキスト ボックス 192">
          <a:extLst>
            <a:ext uri="{FF2B5EF4-FFF2-40B4-BE49-F238E27FC236}">
              <a16:creationId xmlns:a16="http://schemas.microsoft.com/office/drawing/2014/main" id="{00000000-0008-0000-0A00-0000C1000000}"/>
            </a:ext>
          </a:extLst>
        </xdr:cNvPr>
        <xdr:cNvSpPr txBox="1"/>
      </xdr:nvSpPr>
      <xdr:spPr>
        <a:xfrm>
          <a:off x="6042142" y="17426116"/>
          <a:ext cx="223838"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1013DB8-8AEC-4F58-96D2-41D503B413E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465255</xdr:colOff>
      <xdr:row>106</xdr:row>
      <xdr:rowOff>104904</xdr:rowOff>
    </xdr:from>
    <xdr:to>
      <xdr:col>7</xdr:col>
      <xdr:colOff>684330</xdr:colOff>
      <xdr:row>108</xdr:row>
      <xdr:rowOff>16248</xdr:rowOff>
    </xdr:to>
    <xdr:sp macro="" textlink="計算シート!H36">
      <xdr:nvSpPr>
        <xdr:cNvPr id="194" name="テキスト ボックス 193">
          <a:extLst>
            <a:ext uri="{FF2B5EF4-FFF2-40B4-BE49-F238E27FC236}">
              <a16:creationId xmlns:a16="http://schemas.microsoft.com/office/drawing/2014/main" id="{00000000-0008-0000-0A00-0000C2000000}"/>
            </a:ext>
          </a:extLst>
        </xdr:cNvPr>
        <xdr:cNvSpPr txBox="1"/>
      </xdr:nvSpPr>
      <xdr:spPr>
        <a:xfrm>
          <a:off x="5299193" y="17773779"/>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C0ABC81-B476-4DF3-89C8-048CFD39794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525580</xdr:colOff>
      <xdr:row>106</xdr:row>
      <xdr:rowOff>104904</xdr:rowOff>
    </xdr:from>
    <xdr:to>
      <xdr:col>9</xdr:col>
      <xdr:colOff>58855</xdr:colOff>
      <xdr:row>108</xdr:row>
      <xdr:rowOff>16248</xdr:rowOff>
    </xdr:to>
    <xdr:sp macro="" textlink="計算シート!I36">
      <xdr:nvSpPr>
        <xdr:cNvPr id="195" name="テキスト ボックス 194">
          <a:extLst>
            <a:ext uri="{FF2B5EF4-FFF2-40B4-BE49-F238E27FC236}">
              <a16:creationId xmlns:a16="http://schemas.microsoft.com/office/drawing/2014/main" id="{00000000-0008-0000-0A00-0000C3000000}"/>
            </a:ext>
          </a:extLst>
        </xdr:cNvPr>
        <xdr:cNvSpPr txBox="1"/>
      </xdr:nvSpPr>
      <xdr:spPr>
        <a:xfrm>
          <a:off x="6050080" y="17773779"/>
          <a:ext cx="223838"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19E7527-7CF6-4A40-BC6F-955D3D0EABD4}"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457316</xdr:colOff>
      <xdr:row>108</xdr:row>
      <xdr:rowOff>127128</xdr:rowOff>
    </xdr:from>
    <xdr:to>
      <xdr:col>7</xdr:col>
      <xdr:colOff>676391</xdr:colOff>
      <xdr:row>110</xdr:row>
      <xdr:rowOff>25772</xdr:rowOff>
    </xdr:to>
    <xdr:sp macro="" textlink="計算シート!H37">
      <xdr:nvSpPr>
        <xdr:cNvPr id="196" name="テキスト ボックス 195">
          <a:extLst>
            <a:ext uri="{FF2B5EF4-FFF2-40B4-BE49-F238E27FC236}">
              <a16:creationId xmlns:a16="http://schemas.microsoft.com/office/drawing/2014/main" id="{00000000-0008-0000-0A00-0000C4000000}"/>
            </a:ext>
          </a:extLst>
        </xdr:cNvPr>
        <xdr:cNvSpPr txBox="1"/>
      </xdr:nvSpPr>
      <xdr:spPr>
        <a:xfrm>
          <a:off x="5291254" y="18129378"/>
          <a:ext cx="219075"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6F9541D-9918-4422-9956-5BB822D378F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517641</xdr:colOff>
      <xdr:row>108</xdr:row>
      <xdr:rowOff>127128</xdr:rowOff>
    </xdr:from>
    <xdr:to>
      <xdr:col>9</xdr:col>
      <xdr:colOff>50916</xdr:colOff>
      <xdr:row>110</xdr:row>
      <xdr:rowOff>25772</xdr:rowOff>
    </xdr:to>
    <xdr:sp macro="" textlink="計算シート!I37">
      <xdr:nvSpPr>
        <xdr:cNvPr id="197" name="テキスト ボックス 196">
          <a:extLst>
            <a:ext uri="{FF2B5EF4-FFF2-40B4-BE49-F238E27FC236}">
              <a16:creationId xmlns:a16="http://schemas.microsoft.com/office/drawing/2014/main" id="{00000000-0008-0000-0A00-0000C5000000}"/>
            </a:ext>
          </a:extLst>
        </xdr:cNvPr>
        <xdr:cNvSpPr txBox="1"/>
      </xdr:nvSpPr>
      <xdr:spPr>
        <a:xfrm>
          <a:off x="6042141" y="18129378"/>
          <a:ext cx="223838"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8BF008F-C9F1-4CD5-AE86-65B077B72565}"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649406</xdr:colOff>
      <xdr:row>106</xdr:row>
      <xdr:rowOff>112841</xdr:rowOff>
    </xdr:from>
    <xdr:to>
      <xdr:col>10</xdr:col>
      <xdr:colOff>190618</xdr:colOff>
      <xdr:row>108</xdr:row>
      <xdr:rowOff>16248</xdr:rowOff>
    </xdr:to>
    <xdr:sp macro="" textlink="計算シート!J36">
      <xdr:nvSpPr>
        <xdr:cNvPr id="198" name="テキスト ボックス 197">
          <a:extLst>
            <a:ext uri="{FF2B5EF4-FFF2-40B4-BE49-F238E27FC236}">
              <a16:creationId xmlns:a16="http://schemas.microsoft.com/office/drawing/2014/main" id="{00000000-0008-0000-0A00-0000C6000000}"/>
            </a:ext>
          </a:extLst>
        </xdr:cNvPr>
        <xdr:cNvSpPr txBox="1"/>
      </xdr:nvSpPr>
      <xdr:spPr>
        <a:xfrm>
          <a:off x="6864469" y="17781716"/>
          <a:ext cx="231774"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68C48EC-5201-4DBA-A5D8-CB505A804A6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9</xdr:col>
      <xdr:colOff>649406</xdr:colOff>
      <xdr:row>108</xdr:row>
      <xdr:rowOff>127129</xdr:rowOff>
    </xdr:from>
    <xdr:to>
      <xdr:col>10</xdr:col>
      <xdr:colOff>190618</xdr:colOff>
      <xdr:row>110</xdr:row>
      <xdr:rowOff>25773</xdr:rowOff>
    </xdr:to>
    <xdr:sp macro="" textlink="計算シート!J37">
      <xdr:nvSpPr>
        <xdr:cNvPr id="199" name="テキスト ボックス 198">
          <a:extLst>
            <a:ext uri="{FF2B5EF4-FFF2-40B4-BE49-F238E27FC236}">
              <a16:creationId xmlns:a16="http://schemas.microsoft.com/office/drawing/2014/main" id="{00000000-0008-0000-0A00-0000C7000000}"/>
            </a:ext>
          </a:extLst>
        </xdr:cNvPr>
        <xdr:cNvSpPr txBox="1"/>
      </xdr:nvSpPr>
      <xdr:spPr>
        <a:xfrm>
          <a:off x="6864469" y="18129379"/>
          <a:ext cx="231774" cy="232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A3A7398-EBA6-45CD-B14F-E03774E33C6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357305</xdr:colOff>
      <xdr:row>113</xdr:row>
      <xdr:rowOff>158877</xdr:rowOff>
    </xdr:from>
    <xdr:to>
      <xdr:col>1</xdr:col>
      <xdr:colOff>576380</xdr:colOff>
      <xdr:row>115</xdr:row>
      <xdr:rowOff>65458</xdr:rowOff>
    </xdr:to>
    <xdr:sp macro="" textlink="計算シート!H38">
      <xdr:nvSpPr>
        <xdr:cNvPr id="200" name="テキスト ボックス 199">
          <a:extLst>
            <a:ext uri="{FF2B5EF4-FFF2-40B4-BE49-F238E27FC236}">
              <a16:creationId xmlns:a16="http://schemas.microsoft.com/office/drawing/2014/main" id="{00000000-0008-0000-0A00-0000C8000000}"/>
            </a:ext>
          </a:extLst>
        </xdr:cNvPr>
        <xdr:cNvSpPr txBox="1"/>
      </xdr:nvSpPr>
      <xdr:spPr>
        <a:xfrm>
          <a:off x="1047868" y="18994565"/>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3184297-EABA-4400-950E-6CCBFDC5347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113</xdr:row>
      <xdr:rowOff>158877</xdr:rowOff>
    </xdr:from>
    <xdr:to>
      <xdr:col>2</xdr:col>
      <xdr:colOff>517642</xdr:colOff>
      <xdr:row>115</xdr:row>
      <xdr:rowOff>65458</xdr:rowOff>
    </xdr:to>
    <xdr:sp macro="" textlink="計算シート!I38">
      <xdr:nvSpPr>
        <xdr:cNvPr id="201" name="テキスト ボックス 200">
          <a:extLst>
            <a:ext uri="{FF2B5EF4-FFF2-40B4-BE49-F238E27FC236}">
              <a16:creationId xmlns:a16="http://schemas.microsoft.com/office/drawing/2014/main" id="{00000000-0008-0000-0A00-0000C9000000}"/>
            </a:ext>
          </a:extLst>
        </xdr:cNvPr>
        <xdr:cNvSpPr txBox="1"/>
      </xdr:nvSpPr>
      <xdr:spPr>
        <a:xfrm>
          <a:off x="1679692" y="18994565"/>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EB915C2-6E72-4BBA-9F5D-1653D47DE51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358893</xdr:colOff>
      <xdr:row>114</xdr:row>
      <xdr:rowOff>128</xdr:rowOff>
    </xdr:from>
    <xdr:to>
      <xdr:col>3</xdr:col>
      <xdr:colOff>577968</xdr:colOff>
      <xdr:row>115</xdr:row>
      <xdr:rowOff>73396</xdr:rowOff>
    </xdr:to>
    <xdr:sp macro="" textlink="計算シート!J38">
      <xdr:nvSpPr>
        <xdr:cNvPr id="202" name="テキスト ボックス 201">
          <a:extLst>
            <a:ext uri="{FF2B5EF4-FFF2-40B4-BE49-F238E27FC236}">
              <a16:creationId xmlns:a16="http://schemas.microsoft.com/office/drawing/2014/main" id="{00000000-0008-0000-0A00-0000CA000000}"/>
            </a:ext>
          </a:extLst>
        </xdr:cNvPr>
        <xdr:cNvSpPr txBox="1"/>
      </xdr:nvSpPr>
      <xdr:spPr>
        <a:xfrm>
          <a:off x="2430581" y="19002503"/>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3E11580-09A0-4E13-B4A2-83D136ECF7D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531930</xdr:colOff>
      <xdr:row>114</xdr:row>
      <xdr:rowOff>128</xdr:rowOff>
    </xdr:from>
    <xdr:to>
      <xdr:col>7</xdr:col>
      <xdr:colOff>73143</xdr:colOff>
      <xdr:row>115</xdr:row>
      <xdr:rowOff>73396</xdr:rowOff>
    </xdr:to>
    <xdr:sp macro="" textlink="計算シート!H44">
      <xdr:nvSpPr>
        <xdr:cNvPr id="203" name="テキスト ボックス 202">
          <a:extLst>
            <a:ext uri="{FF2B5EF4-FFF2-40B4-BE49-F238E27FC236}">
              <a16:creationId xmlns:a16="http://schemas.microsoft.com/office/drawing/2014/main" id="{00000000-0008-0000-0A00-0000CB000000}"/>
            </a:ext>
          </a:extLst>
        </xdr:cNvPr>
        <xdr:cNvSpPr txBox="1"/>
      </xdr:nvSpPr>
      <xdr:spPr>
        <a:xfrm>
          <a:off x="4675305" y="19002503"/>
          <a:ext cx="231776"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25F873E-8500-436F-BED1-AE17009552C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465256</xdr:colOff>
      <xdr:row>114</xdr:row>
      <xdr:rowOff>128</xdr:rowOff>
    </xdr:from>
    <xdr:to>
      <xdr:col>7</xdr:col>
      <xdr:colOff>684331</xdr:colOff>
      <xdr:row>115</xdr:row>
      <xdr:rowOff>73396</xdr:rowOff>
    </xdr:to>
    <xdr:sp macro="" textlink="計算シート!I44">
      <xdr:nvSpPr>
        <xdr:cNvPr id="204" name="テキスト ボックス 203">
          <a:extLst>
            <a:ext uri="{FF2B5EF4-FFF2-40B4-BE49-F238E27FC236}">
              <a16:creationId xmlns:a16="http://schemas.microsoft.com/office/drawing/2014/main" id="{00000000-0008-0000-0A00-0000CC000000}"/>
            </a:ext>
          </a:extLst>
        </xdr:cNvPr>
        <xdr:cNvSpPr txBox="1"/>
      </xdr:nvSpPr>
      <xdr:spPr>
        <a:xfrm>
          <a:off x="5299194" y="19002503"/>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DC6419B-73E6-4724-9111-1AA8CD321B6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525580</xdr:colOff>
      <xdr:row>114</xdr:row>
      <xdr:rowOff>128</xdr:rowOff>
    </xdr:from>
    <xdr:to>
      <xdr:col>9</xdr:col>
      <xdr:colOff>58855</xdr:colOff>
      <xdr:row>115</xdr:row>
      <xdr:rowOff>73396</xdr:rowOff>
    </xdr:to>
    <xdr:sp macro="" textlink="計算シート!J44">
      <xdr:nvSpPr>
        <xdr:cNvPr id="205" name="テキスト ボックス 204">
          <a:extLst>
            <a:ext uri="{FF2B5EF4-FFF2-40B4-BE49-F238E27FC236}">
              <a16:creationId xmlns:a16="http://schemas.microsoft.com/office/drawing/2014/main" id="{00000000-0008-0000-0A00-0000CD000000}"/>
            </a:ext>
          </a:extLst>
        </xdr:cNvPr>
        <xdr:cNvSpPr txBox="1"/>
      </xdr:nvSpPr>
      <xdr:spPr>
        <a:xfrm>
          <a:off x="6050080" y="19002503"/>
          <a:ext cx="223838"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C3980FB-907F-47A0-A472-FB4B58C8593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357305</xdr:colOff>
      <xdr:row>116</xdr:row>
      <xdr:rowOff>6477</xdr:rowOff>
    </xdr:from>
    <xdr:to>
      <xdr:col>1</xdr:col>
      <xdr:colOff>576380</xdr:colOff>
      <xdr:row>117</xdr:row>
      <xdr:rowOff>79745</xdr:rowOff>
    </xdr:to>
    <xdr:sp macro="" textlink="計算シート!H39">
      <xdr:nvSpPr>
        <xdr:cNvPr id="206" name="テキスト ボックス 205">
          <a:extLst>
            <a:ext uri="{FF2B5EF4-FFF2-40B4-BE49-F238E27FC236}">
              <a16:creationId xmlns:a16="http://schemas.microsoft.com/office/drawing/2014/main" id="{00000000-0008-0000-0A00-0000CE000000}"/>
            </a:ext>
          </a:extLst>
        </xdr:cNvPr>
        <xdr:cNvSpPr txBox="1"/>
      </xdr:nvSpPr>
      <xdr:spPr>
        <a:xfrm>
          <a:off x="1047868" y="19342227"/>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8648D671-4040-49CC-8D77-280C082C403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298567</xdr:colOff>
      <xdr:row>116</xdr:row>
      <xdr:rowOff>6477</xdr:rowOff>
    </xdr:from>
    <xdr:to>
      <xdr:col>2</xdr:col>
      <xdr:colOff>517642</xdr:colOff>
      <xdr:row>117</xdr:row>
      <xdr:rowOff>79745</xdr:rowOff>
    </xdr:to>
    <xdr:sp macro="" textlink="計算シート!I39">
      <xdr:nvSpPr>
        <xdr:cNvPr id="207" name="テキスト ボックス 206">
          <a:extLst>
            <a:ext uri="{FF2B5EF4-FFF2-40B4-BE49-F238E27FC236}">
              <a16:creationId xmlns:a16="http://schemas.microsoft.com/office/drawing/2014/main" id="{00000000-0008-0000-0A00-0000CF000000}"/>
            </a:ext>
          </a:extLst>
        </xdr:cNvPr>
        <xdr:cNvSpPr txBox="1"/>
      </xdr:nvSpPr>
      <xdr:spPr>
        <a:xfrm>
          <a:off x="1679692" y="19342227"/>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7A1D5E0-ECFB-4D6A-9AF1-82ED728D2C5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358893</xdr:colOff>
      <xdr:row>116</xdr:row>
      <xdr:rowOff>14415</xdr:rowOff>
    </xdr:from>
    <xdr:to>
      <xdr:col>3</xdr:col>
      <xdr:colOff>577968</xdr:colOff>
      <xdr:row>117</xdr:row>
      <xdr:rowOff>87683</xdr:rowOff>
    </xdr:to>
    <xdr:sp macro="" textlink="計算シート!J39">
      <xdr:nvSpPr>
        <xdr:cNvPr id="208" name="テキスト ボックス 207">
          <a:extLst>
            <a:ext uri="{FF2B5EF4-FFF2-40B4-BE49-F238E27FC236}">
              <a16:creationId xmlns:a16="http://schemas.microsoft.com/office/drawing/2014/main" id="{00000000-0008-0000-0A00-0000D0000000}"/>
            </a:ext>
          </a:extLst>
        </xdr:cNvPr>
        <xdr:cNvSpPr txBox="1"/>
      </xdr:nvSpPr>
      <xdr:spPr>
        <a:xfrm>
          <a:off x="2430581" y="19350165"/>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FBCD406-CA53-4512-AAF2-46DF456D405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531930</xdr:colOff>
      <xdr:row>116</xdr:row>
      <xdr:rowOff>14415</xdr:rowOff>
    </xdr:from>
    <xdr:to>
      <xdr:col>7</xdr:col>
      <xdr:colOff>73143</xdr:colOff>
      <xdr:row>117</xdr:row>
      <xdr:rowOff>87683</xdr:rowOff>
    </xdr:to>
    <xdr:sp macro="" textlink="計算シート!H45">
      <xdr:nvSpPr>
        <xdr:cNvPr id="209" name="テキスト ボックス 208">
          <a:extLst>
            <a:ext uri="{FF2B5EF4-FFF2-40B4-BE49-F238E27FC236}">
              <a16:creationId xmlns:a16="http://schemas.microsoft.com/office/drawing/2014/main" id="{00000000-0008-0000-0A00-0000D1000000}"/>
            </a:ext>
          </a:extLst>
        </xdr:cNvPr>
        <xdr:cNvSpPr txBox="1"/>
      </xdr:nvSpPr>
      <xdr:spPr>
        <a:xfrm>
          <a:off x="4675305" y="19350165"/>
          <a:ext cx="231776"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D951EAE-EAAC-40F9-9206-33E136EBDC9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465256</xdr:colOff>
      <xdr:row>116</xdr:row>
      <xdr:rowOff>14415</xdr:rowOff>
    </xdr:from>
    <xdr:to>
      <xdr:col>7</xdr:col>
      <xdr:colOff>684331</xdr:colOff>
      <xdr:row>117</xdr:row>
      <xdr:rowOff>87683</xdr:rowOff>
    </xdr:to>
    <xdr:sp macro="" textlink="計算シート!I45">
      <xdr:nvSpPr>
        <xdr:cNvPr id="210" name="テキスト ボックス 209">
          <a:extLst>
            <a:ext uri="{FF2B5EF4-FFF2-40B4-BE49-F238E27FC236}">
              <a16:creationId xmlns:a16="http://schemas.microsoft.com/office/drawing/2014/main" id="{00000000-0008-0000-0A00-0000D2000000}"/>
            </a:ext>
          </a:extLst>
        </xdr:cNvPr>
        <xdr:cNvSpPr txBox="1"/>
      </xdr:nvSpPr>
      <xdr:spPr>
        <a:xfrm>
          <a:off x="5299194" y="19350165"/>
          <a:ext cx="219075"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DD92FF5-7C3C-4AC1-AEB0-B65AD608028A}"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525580</xdr:colOff>
      <xdr:row>116</xdr:row>
      <xdr:rowOff>14415</xdr:rowOff>
    </xdr:from>
    <xdr:to>
      <xdr:col>9</xdr:col>
      <xdr:colOff>58855</xdr:colOff>
      <xdr:row>117</xdr:row>
      <xdr:rowOff>87683</xdr:rowOff>
    </xdr:to>
    <xdr:sp macro="" textlink="計算シート!J45">
      <xdr:nvSpPr>
        <xdr:cNvPr id="211" name="テキスト ボックス 210">
          <a:extLst>
            <a:ext uri="{FF2B5EF4-FFF2-40B4-BE49-F238E27FC236}">
              <a16:creationId xmlns:a16="http://schemas.microsoft.com/office/drawing/2014/main" id="{00000000-0008-0000-0A00-0000D3000000}"/>
            </a:ext>
          </a:extLst>
        </xdr:cNvPr>
        <xdr:cNvSpPr txBox="1"/>
      </xdr:nvSpPr>
      <xdr:spPr>
        <a:xfrm>
          <a:off x="6050080" y="19350165"/>
          <a:ext cx="223838" cy="239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45759E5-7EA4-44D8-8997-A569931C2BC9}"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357304</xdr:colOff>
      <xdr:row>118</xdr:row>
      <xdr:rowOff>31876</xdr:rowOff>
    </xdr:from>
    <xdr:to>
      <xdr:col>1</xdr:col>
      <xdr:colOff>576379</xdr:colOff>
      <xdr:row>119</xdr:row>
      <xdr:rowOff>109907</xdr:rowOff>
    </xdr:to>
    <xdr:sp macro="" textlink="計算シート!H40">
      <xdr:nvSpPr>
        <xdr:cNvPr id="212" name="テキスト ボックス 211">
          <a:extLst>
            <a:ext uri="{FF2B5EF4-FFF2-40B4-BE49-F238E27FC236}">
              <a16:creationId xmlns:a16="http://schemas.microsoft.com/office/drawing/2014/main" id="{00000000-0008-0000-0A00-0000D4000000}"/>
            </a:ext>
          </a:extLst>
        </xdr:cNvPr>
        <xdr:cNvSpPr txBox="1"/>
      </xdr:nvSpPr>
      <xdr:spPr>
        <a:xfrm>
          <a:off x="1047867" y="19701001"/>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C761540-27A9-4B99-931A-6107AD7FB98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298566</xdr:colOff>
      <xdr:row>118</xdr:row>
      <xdr:rowOff>31876</xdr:rowOff>
    </xdr:from>
    <xdr:to>
      <xdr:col>2</xdr:col>
      <xdr:colOff>517641</xdr:colOff>
      <xdr:row>119</xdr:row>
      <xdr:rowOff>109907</xdr:rowOff>
    </xdr:to>
    <xdr:sp macro="" textlink="計算シート!I40">
      <xdr:nvSpPr>
        <xdr:cNvPr id="213" name="テキスト ボックス 212">
          <a:extLst>
            <a:ext uri="{FF2B5EF4-FFF2-40B4-BE49-F238E27FC236}">
              <a16:creationId xmlns:a16="http://schemas.microsoft.com/office/drawing/2014/main" id="{00000000-0008-0000-0A00-0000D5000000}"/>
            </a:ext>
          </a:extLst>
        </xdr:cNvPr>
        <xdr:cNvSpPr txBox="1"/>
      </xdr:nvSpPr>
      <xdr:spPr>
        <a:xfrm>
          <a:off x="1679691" y="19701001"/>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0BBA6557-57F2-4C70-8027-D461C1FB7FA2}"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358892</xdr:colOff>
      <xdr:row>118</xdr:row>
      <xdr:rowOff>39814</xdr:rowOff>
    </xdr:from>
    <xdr:to>
      <xdr:col>3</xdr:col>
      <xdr:colOff>577967</xdr:colOff>
      <xdr:row>119</xdr:row>
      <xdr:rowOff>117845</xdr:rowOff>
    </xdr:to>
    <xdr:sp macro="" textlink="計算シート!J40">
      <xdr:nvSpPr>
        <xdr:cNvPr id="214" name="テキスト ボックス 213">
          <a:extLst>
            <a:ext uri="{FF2B5EF4-FFF2-40B4-BE49-F238E27FC236}">
              <a16:creationId xmlns:a16="http://schemas.microsoft.com/office/drawing/2014/main" id="{00000000-0008-0000-0A00-0000D6000000}"/>
            </a:ext>
          </a:extLst>
        </xdr:cNvPr>
        <xdr:cNvSpPr txBox="1"/>
      </xdr:nvSpPr>
      <xdr:spPr>
        <a:xfrm>
          <a:off x="2430580" y="19708939"/>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D211F48-5861-485D-88F7-7479A2A13FB9}"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531929</xdr:colOff>
      <xdr:row>118</xdr:row>
      <xdr:rowOff>39814</xdr:rowOff>
    </xdr:from>
    <xdr:to>
      <xdr:col>7</xdr:col>
      <xdr:colOff>73142</xdr:colOff>
      <xdr:row>119</xdr:row>
      <xdr:rowOff>117845</xdr:rowOff>
    </xdr:to>
    <xdr:sp macro="" textlink="計算シート!H46">
      <xdr:nvSpPr>
        <xdr:cNvPr id="215" name="テキスト ボックス 214">
          <a:extLst>
            <a:ext uri="{FF2B5EF4-FFF2-40B4-BE49-F238E27FC236}">
              <a16:creationId xmlns:a16="http://schemas.microsoft.com/office/drawing/2014/main" id="{00000000-0008-0000-0A00-0000D7000000}"/>
            </a:ext>
          </a:extLst>
        </xdr:cNvPr>
        <xdr:cNvSpPr txBox="1"/>
      </xdr:nvSpPr>
      <xdr:spPr>
        <a:xfrm>
          <a:off x="4675304" y="19708939"/>
          <a:ext cx="231776"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22922910-03F7-4BD5-82EE-3780ED0C8CB8}"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465255</xdr:colOff>
      <xdr:row>118</xdr:row>
      <xdr:rowOff>39814</xdr:rowOff>
    </xdr:from>
    <xdr:to>
      <xdr:col>7</xdr:col>
      <xdr:colOff>684330</xdr:colOff>
      <xdr:row>119</xdr:row>
      <xdr:rowOff>117845</xdr:rowOff>
    </xdr:to>
    <xdr:sp macro="" textlink="計算シート!I46">
      <xdr:nvSpPr>
        <xdr:cNvPr id="216" name="テキスト ボックス 215">
          <a:extLst>
            <a:ext uri="{FF2B5EF4-FFF2-40B4-BE49-F238E27FC236}">
              <a16:creationId xmlns:a16="http://schemas.microsoft.com/office/drawing/2014/main" id="{00000000-0008-0000-0A00-0000D8000000}"/>
            </a:ext>
          </a:extLst>
        </xdr:cNvPr>
        <xdr:cNvSpPr txBox="1"/>
      </xdr:nvSpPr>
      <xdr:spPr>
        <a:xfrm>
          <a:off x="5299193" y="19708939"/>
          <a:ext cx="219075"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797026A-B1F7-4F88-B0F9-D0A860EE005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525579</xdr:colOff>
      <xdr:row>118</xdr:row>
      <xdr:rowOff>39814</xdr:rowOff>
    </xdr:from>
    <xdr:to>
      <xdr:col>9</xdr:col>
      <xdr:colOff>58854</xdr:colOff>
      <xdr:row>119</xdr:row>
      <xdr:rowOff>117845</xdr:rowOff>
    </xdr:to>
    <xdr:sp macro="" textlink="計算シート!J46">
      <xdr:nvSpPr>
        <xdr:cNvPr id="217" name="テキスト ボックス 216">
          <a:extLst>
            <a:ext uri="{FF2B5EF4-FFF2-40B4-BE49-F238E27FC236}">
              <a16:creationId xmlns:a16="http://schemas.microsoft.com/office/drawing/2014/main" id="{00000000-0008-0000-0A00-0000D9000000}"/>
            </a:ext>
          </a:extLst>
        </xdr:cNvPr>
        <xdr:cNvSpPr txBox="1"/>
      </xdr:nvSpPr>
      <xdr:spPr>
        <a:xfrm>
          <a:off x="6050079" y="19708939"/>
          <a:ext cx="223838" cy="244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F586F2A-8BC3-4665-8AF6-D814F6DC19BE}"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357303</xdr:colOff>
      <xdr:row>120</xdr:row>
      <xdr:rowOff>54101</xdr:rowOff>
    </xdr:from>
    <xdr:to>
      <xdr:col>1</xdr:col>
      <xdr:colOff>576378</xdr:colOff>
      <xdr:row>121</xdr:row>
      <xdr:rowOff>124195</xdr:rowOff>
    </xdr:to>
    <xdr:sp macro="" textlink="計算シート!H41">
      <xdr:nvSpPr>
        <xdr:cNvPr id="218" name="テキスト ボックス 217">
          <a:extLst>
            <a:ext uri="{FF2B5EF4-FFF2-40B4-BE49-F238E27FC236}">
              <a16:creationId xmlns:a16="http://schemas.microsoft.com/office/drawing/2014/main" id="{00000000-0008-0000-0A00-0000DA000000}"/>
            </a:ext>
          </a:extLst>
        </xdr:cNvPr>
        <xdr:cNvSpPr txBox="1"/>
      </xdr:nvSpPr>
      <xdr:spPr>
        <a:xfrm>
          <a:off x="1047866" y="2005660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A329B265-51F7-4923-BF3F-F907AAFD582F}"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298565</xdr:colOff>
      <xdr:row>120</xdr:row>
      <xdr:rowOff>54101</xdr:rowOff>
    </xdr:from>
    <xdr:to>
      <xdr:col>2</xdr:col>
      <xdr:colOff>517640</xdr:colOff>
      <xdr:row>121</xdr:row>
      <xdr:rowOff>124195</xdr:rowOff>
    </xdr:to>
    <xdr:sp macro="" textlink="計算シート!I41">
      <xdr:nvSpPr>
        <xdr:cNvPr id="219" name="テキスト ボックス 218">
          <a:extLst>
            <a:ext uri="{FF2B5EF4-FFF2-40B4-BE49-F238E27FC236}">
              <a16:creationId xmlns:a16="http://schemas.microsoft.com/office/drawing/2014/main" id="{00000000-0008-0000-0A00-0000DB000000}"/>
            </a:ext>
          </a:extLst>
        </xdr:cNvPr>
        <xdr:cNvSpPr txBox="1"/>
      </xdr:nvSpPr>
      <xdr:spPr>
        <a:xfrm>
          <a:off x="1679690" y="2005660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56079B6-E947-47A4-9294-C28D1DBA8477}"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358891</xdr:colOff>
      <xdr:row>120</xdr:row>
      <xdr:rowOff>62039</xdr:rowOff>
    </xdr:from>
    <xdr:to>
      <xdr:col>3</xdr:col>
      <xdr:colOff>577966</xdr:colOff>
      <xdr:row>121</xdr:row>
      <xdr:rowOff>132133</xdr:rowOff>
    </xdr:to>
    <xdr:sp macro="" textlink="計算シート!J41">
      <xdr:nvSpPr>
        <xdr:cNvPr id="220" name="テキスト ボックス 219">
          <a:extLst>
            <a:ext uri="{FF2B5EF4-FFF2-40B4-BE49-F238E27FC236}">
              <a16:creationId xmlns:a16="http://schemas.microsoft.com/office/drawing/2014/main" id="{00000000-0008-0000-0A00-0000DC000000}"/>
            </a:ext>
          </a:extLst>
        </xdr:cNvPr>
        <xdr:cNvSpPr txBox="1"/>
      </xdr:nvSpPr>
      <xdr:spPr>
        <a:xfrm>
          <a:off x="2430579" y="20064539"/>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99A8017-6B59-4356-B0C5-C3B341409EF3}"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531928</xdr:colOff>
      <xdr:row>120</xdr:row>
      <xdr:rowOff>62039</xdr:rowOff>
    </xdr:from>
    <xdr:to>
      <xdr:col>7</xdr:col>
      <xdr:colOff>73141</xdr:colOff>
      <xdr:row>121</xdr:row>
      <xdr:rowOff>132133</xdr:rowOff>
    </xdr:to>
    <xdr:sp macro="" textlink="計算シート!H47">
      <xdr:nvSpPr>
        <xdr:cNvPr id="221" name="テキスト ボックス 220">
          <a:extLst>
            <a:ext uri="{FF2B5EF4-FFF2-40B4-BE49-F238E27FC236}">
              <a16:creationId xmlns:a16="http://schemas.microsoft.com/office/drawing/2014/main" id="{00000000-0008-0000-0A00-0000DD000000}"/>
            </a:ext>
          </a:extLst>
        </xdr:cNvPr>
        <xdr:cNvSpPr txBox="1"/>
      </xdr:nvSpPr>
      <xdr:spPr>
        <a:xfrm>
          <a:off x="4675303" y="20064539"/>
          <a:ext cx="231776"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CB4C274-95E0-4859-A3ED-3302C301937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465254</xdr:colOff>
      <xdr:row>120</xdr:row>
      <xdr:rowOff>62039</xdr:rowOff>
    </xdr:from>
    <xdr:to>
      <xdr:col>7</xdr:col>
      <xdr:colOff>684329</xdr:colOff>
      <xdr:row>121</xdr:row>
      <xdr:rowOff>132133</xdr:rowOff>
    </xdr:to>
    <xdr:sp macro="" textlink="計算シート!I47">
      <xdr:nvSpPr>
        <xdr:cNvPr id="222" name="テキスト ボックス 221">
          <a:extLst>
            <a:ext uri="{FF2B5EF4-FFF2-40B4-BE49-F238E27FC236}">
              <a16:creationId xmlns:a16="http://schemas.microsoft.com/office/drawing/2014/main" id="{00000000-0008-0000-0A00-0000DE000000}"/>
            </a:ext>
          </a:extLst>
        </xdr:cNvPr>
        <xdr:cNvSpPr txBox="1"/>
      </xdr:nvSpPr>
      <xdr:spPr>
        <a:xfrm>
          <a:off x="5299192" y="20064539"/>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CDEEE60B-5644-4E56-AEE4-B7DC791FCEA4}"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525578</xdr:colOff>
      <xdr:row>120</xdr:row>
      <xdr:rowOff>62039</xdr:rowOff>
    </xdr:from>
    <xdr:to>
      <xdr:col>9</xdr:col>
      <xdr:colOff>58853</xdr:colOff>
      <xdr:row>121</xdr:row>
      <xdr:rowOff>132133</xdr:rowOff>
    </xdr:to>
    <xdr:sp macro="" textlink="計算シート!J47">
      <xdr:nvSpPr>
        <xdr:cNvPr id="223" name="テキスト ボックス 222">
          <a:extLst>
            <a:ext uri="{FF2B5EF4-FFF2-40B4-BE49-F238E27FC236}">
              <a16:creationId xmlns:a16="http://schemas.microsoft.com/office/drawing/2014/main" id="{00000000-0008-0000-0A00-0000DF000000}"/>
            </a:ext>
          </a:extLst>
        </xdr:cNvPr>
        <xdr:cNvSpPr txBox="1"/>
      </xdr:nvSpPr>
      <xdr:spPr>
        <a:xfrm>
          <a:off x="6050078" y="20064539"/>
          <a:ext cx="223838"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A3A2FB0-6F92-4B91-BC03-3EE4EC3A0B5C}"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349365</xdr:colOff>
      <xdr:row>122</xdr:row>
      <xdr:rowOff>84263</xdr:rowOff>
    </xdr:from>
    <xdr:to>
      <xdr:col>1</xdr:col>
      <xdr:colOff>568440</xdr:colOff>
      <xdr:row>123</xdr:row>
      <xdr:rowOff>154357</xdr:rowOff>
    </xdr:to>
    <xdr:sp macro="" textlink="計算シート!H42">
      <xdr:nvSpPr>
        <xdr:cNvPr id="224" name="テキスト ボックス 223">
          <a:extLst>
            <a:ext uri="{FF2B5EF4-FFF2-40B4-BE49-F238E27FC236}">
              <a16:creationId xmlns:a16="http://schemas.microsoft.com/office/drawing/2014/main" id="{00000000-0008-0000-0A00-0000E0000000}"/>
            </a:ext>
          </a:extLst>
        </xdr:cNvPr>
        <xdr:cNvSpPr txBox="1"/>
      </xdr:nvSpPr>
      <xdr:spPr>
        <a:xfrm>
          <a:off x="1039928" y="20420138"/>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920B9EB7-0B9B-4698-B061-61C2126738D0}"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290627</xdr:colOff>
      <xdr:row>122</xdr:row>
      <xdr:rowOff>84263</xdr:rowOff>
    </xdr:from>
    <xdr:to>
      <xdr:col>2</xdr:col>
      <xdr:colOff>509702</xdr:colOff>
      <xdr:row>123</xdr:row>
      <xdr:rowOff>154357</xdr:rowOff>
    </xdr:to>
    <xdr:sp macro="" textlink="計算シート!I42">
      <xdr:nvSpPr>
        <xdr:cNvPr id="225" name="テキスト ボックス 224">
          <a:extLst>
            <a:ext uri="{FF2B5EF4-FFF2-40B4-BE49-F238E27FC236}">
              <a16:creationId xmlns:a16="http://schemas.microsoft.com/office/drawing/2014/main" id="{00000000-0008-0000-0A00-0000E1000000}"/>
            </a:ext>
          </a:extLst>
        </xdr:cNvPr>
        <xdr:cNvSpPr txBox="1"/>
      </xdr:nvSpPr>
      <xdr:spPr>
        <a:xfrm>
          <a:off x="1671752" y="20420138"/>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054B3A5-5150-4810-8B7B-E784535AB6FF}"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350953</xdr:colOff>
      <xdr:row>122</xdr:row>
      <xdr:rowOff>92201</xdr:rowOff>
    </xdr:from>
    <xdr:to>
      <xdr:col>3</xdr:col>
      <xdr:colOff>570028</xdr:colOff>
      <xdr:row>123</xdr:row>
      <xdr:rowOff>162295</xdr:rowOff>
    </xdr:to>
    <xdr:sp macro="" textlink="計算シート!J42">
      <xdr:nvSpPr>
        <xdr:cNvPr id="226" name="テキスト ボックス 225">
          <a:extLst>
            <a:ext uri="{FF2B5EF4-FFF2-40B4-BE49-F238E27FC236}">
              <a16:creationId xmlns:a16="http://schemas.microsoft.com/office/drawing/2014/main" id="{00000000-0008-0000-0A00-0000E2000000}"/>
            </a:ext>
          </a:extLst>
        </xdr:cNvPr>
        <xdr:cNvSpPr txBox="1"/>
      </xdr:nvSpPr>
      <xdr:spPr>
        <a:xfrm>
          <a:off x="2422641" y="20428076"/>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4E87ACC-0F8A-4A46-AD76-F16C2EB41E77}"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523990</xdr:colOff>
      <xdr:row>122</xdr:row>
      <xdr:rowOff>92201</xdr:rowOff>
    </xdr:from>
    <xdr:to>
      <xdr:col>7</xdr:col>
      <xdr:colOff>65203</xdr:colOff>
      <xdr:row>123</xdr:row>
      <xdr:rowOff>162295</xdr:rowOff>
    </xdr:to>
    <xdr:sp macro="" textlink="計算シート!H48">
      <xdr:nvSpPr>
        <xdr:cNvPr id="227" name="テキスト ボックス 226">
          <a:extLst>
            <a:ext uri="{FF2B5EF4-FFF2-40B4-BE49-F238E27FC236}">
              <a16:creationId xmlns:a16="http://schemas.microsoft.com/office/drawing/2014/main" id="{00000000-0008-0000-0A00-0000E3000000}"/>
            </a:ext>
          </a:extLst>
        </xdr:cNvPr>
        <xdr:cNvSpPr txBox="1"/>
      </xdr:nvSpPr>
      <xdr:spPr>
        <a:xfrm>
          <a:off x="4667365" y="20428076"/>
          <a:ext cx="231776"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5F54007-6282-4833-AAB9-75F37D3C72DE}"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457316</xdr:colOff>
      <xdr:row>122</xdr:row>
      <xdr:rowOff>92201</xdr:rowOff>
    </xdr:from>
    <xdr:to>
      <xdr:col>7</xdr:col>
      <xdr:colOff>676391</xdr:colOff>
      <xdr:row>123</xdr:row>
      <xdr:rowOff>162295</xdr:rowOff>
    </xdr:to>
    <xdr:sp macro="" textlink="計算シート!I48">
      <xdr:nvSpPr>
        <xdr:cNvPr id="228" name="テキスト ボックス 227">
          <a:extLst>
            <a:ext uri="{FF2B5EF4-FFF2-40B4-BE49-F238E27FC236}">
              <a16:creationId xmlns:a16="http://schemas.microsoft.com/office/drawing/2014/main" id="{00000000-0008-0000-0A00-0000E4000000}"/>
            </a:ext>
          </a:extLst>
        </xdr:cNvPr>
        <xdr:cNvSpPr txBox="1"/>
      </xdr:nvSpPr>
      <xdr:spPr>
        <a:xfrm>
          <a:off x="5291254" y="20428076"/>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358791C-8CB8-419E-A045-CD37D69A2A7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517640</xdr:colOff>
      <xdr:row>122</xdr:row>
      <xdr:rowOff>92201</xdr:rowOff>
    </xdr:from>
    <xdr:to>
      <xdr:col>9</xdr:col>
      <xdr:colOff>50915</xdr:colOff>
      <xdr:row>123</xdr:row>
      <xdr:rowOff>162295</xdr:rowOff>
    </xdr:to>
    <xdr:sp macro="" textlink="計算シート!J48">
      <xdr:nvSpPr>
        <xdr:cNvPr id="229" name="テキスト ボックス 228">
          <a:extLst>
            <a:ext uri="{FF2B5EF4-FFF2-40B4-BE49-F238E27FC236}">
              <a16:creationId xmlns:a16="http://schemas.microsoft.com/office/drawing/2014/main" id="{00000000-0008-0000-0A00-0000E5000000}"/>
            </a:ext>
          </a:extLst>
        </xdr:cNvPr>
        <xdr:cNvSpPr txBox="1"/>
      </xdr:nvSpPr>
      <xdr:spPr>
        <a:xfrm>
          <a:off x="6042140" y="20428076"/>
          <a:ext cx="223838"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9C7AFD5-7876-47F3-B887-48A2AA7C5123}"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1</xdr:col>
      <xdr:colOff>357302</xdr:colOff>
      <xdr:row>124</xdr:row>
      <xdr:rowOff>98551</xdr:rowOff>
    </xdr:from>
    <xdr:to>
      <xdr:col>1</xdr:col>
      <xdr:colOff>576377</xdr:colOff>
      <xdr:row>126</xdr:row>
      <xdr:rowOff>1958</xdr:rowOff>
    </xdr:to>
    <xdr:sp macro="" textlink="計算シート!H43">
      <xdr:nvSpPr>
        <xdr:cNvPr id="230" name="テキスト ボックス 229">
          <a:extLst>
            <a:ext uri="{FF2B5EF4-FFF2-40B4-BE49-F238E27FC236}">
              <a16:creationId xmlns:a16="http://schemas.microsoft.com/office/drawing/2014/main" id="{00000000-0008-0000-0A00-0000E6000000}"/>
            </a:ext>
          </a:extLst>
        </xdr:cNvPr>
        <xdr:cNvSpPr txBox="1"/>
      </xdr:nvSpPr>
      <xdr:spPr>
        <a:xfrm>
          <a:off x="1047865" y="2076780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D51CD63F-F5E8-4473-A08D-28D6B9C1C0ED}"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2</xdr:col>
      <xdr:colOff>298564</xdr:colOff>
      <xdr:row>124</xdr:row>
      <xdr:rowOff>98551</xdr:rowOff>
    </xdr:from>
    <xdr:to>
      <xdr:col>2</xdr:col>
      <xdr:colOff>517639</xdr:colOff>
      <xdr:row>126</xdr:row>
      <xdr:rowOff>1958</xdr:rowOff>
    </xdr:to>
    <xdr:sp macro="" textlink="計算シート!I43">
      <xdr:nvSpPr>
        <xdr:cNvPr id="231" name="テキスト ボックス 230">
          <a:extLst>
            <a:ext uri="{FF2B5EF4-FFF2-40B4-BE49-F238E27FC236}">
              <a16:creationId xmlns:a16="http://schemas.microsoft.com/office/drawing/2014/main" id="{00000000-0008-0000-0A00-0000E7000000}"/>
            </a:ext>
          </a:extLst>
        </xdr:cNvPr>
        <xdr:cNvSpPr txBox="1"/>
      </xdr:nvSpPr>
      <xdr:spPr>
        <a:xfrm>
          <a:off x="1679689" y="20767801"/>
          <a:ext cx="219075" cy="236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F37186D1-B57F-4E3C-B083-8A1A9B7C59C1}"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3</xdr:col>
      <xdr:colOff>358890</xdr:colOff>
      <xdr:row>124</xdr:row>
      <xdr:rowOff>98551</xdr:rowOff>
    </xdr:from>
    <xdr:to>
      <xdr:col>3</xdr:col>
      <xdr:colOff>577965</xdr:colOff>
      <xdr:row>126</xdr:row>
      <xdr:rowOff>9896</xdr:rowOff>
    </xdr:to>
    <xdr:sp macro="" textlink="計算シート!J43">
      <xdr:nvSpPr>
        <xdr:cNvPr id="232" name="テキスト ボックス 231">
          <a:extLst>
            <a:ext uri="{FF2B5EF4-FFF2-40B4-BE49-F238E27FC236}">
              <a16:creationId xmlns:a16="http://schemas.microsoft.com/office/drawing/2014/main" id="{00000000-0008-0000-0A00-0000E8000000}"/>
            </a:ext>
          </a:extLst>
        </xdr:cNvPr>
        <xdr:cNvSpPr txBox="1"/>
      </xdr:nvSpPr>
      <xdr:spPr>
        <a:xfrm>
          <a:off x="2430578" y="20767801"/>
          <a:ext cx="219075"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45B111AC-945E-4BF3-B103-C85C60C89E58}"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6</xdr:col>
      <xdr:colOff>531927</xdr:colOff>
      <xdr:row>124</xdr:row>
      <xdr:rowOff>98551</xdr:rowOff>
    </xdr:from>
    <xdr:to>
      <xdr:col>7</xdr:col>
      <xdr:colOff>73140</xdr:colOff>
      <xdr:row>126</xdr:row>
      <xdr:rowOff>9896</xdr:rowOff>
    </xdr:to>
    <xdr:sp macro="" textlink="計算シート!H49">
      <xdr:nvSpPr>
        <xdr:cNvPr id="233" name="テキスト ボックス 232">
          <a:extLst>
            <a:ext uri="{FF2B5EF4-FFF2-40B4-BE49-F238E27FC236}">
              <a16:creationId xmlns:a16="http://schemas.microsoft.com/office/drawing/2014/main" id="{00000000-0008-0000-0A00-0000E9000000}"/>
            </a:ext>
          </a:extLst>
        </xdr:cNvPr>
        <xdr:cNvSpPr txBox="1"/>
      </xdr:nvSpPr>
      <xdr:spPr>
        <a:xfrm>
          <a:off x="4675302" y="20767801"/>
          <a:ext cx="231776"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E9C494B8-3070-48C5-894A-71B69C9354A5}"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7</xdr:col>
      <xdr:colOff>465253</xdr:colOff>
      <xdr:row>124</xdr:row>
      <xdr:rowOff>98551</xdr:rowOff>
    </xdr:from>
    <xdr:to>
      <xdr:col>7</xdr:col>
      <xdr:colOff>684328</xdr:colOff>
      <xdr:row>126</xdr:row>
      <xdr:rowOff>9896</xdr:rowOff>
    </xdr:to>
    <xdr:sp macro="" textlink="計算シート!I49">
      <xdr:nvSpPr>
        <xdr:cNvPr id="234" name="テキスト ボックス 233">
          <a:extLst>
            <a:ext uri="{FF2B5EF4-FFF2-40B4-BE49-F238E27FC236}">
              <a16:creationId xmlns:a16="http://schemas.microsoft.com/office/drawing/2014/main" id="{00000000-0008-0000-0A00-0000EA000000}"/>
            </a:ext>
          </a:extLst>
        </xdr:cNvPr>
        <xdr:cNvSpPr txBox="1"/>
      </xdr:nvSpPr>
      <xdr:spPr>
        <a:xfrm>
          <a:off x="5299191" y="20767801"/>
          <a:ext cx="219075"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71762E40-69D6-4D76-B64D-DE4B68604042}" type="TxLink">
            <a:rPr kumimoji="1" lang="en-US"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xdr:from>
      <xdr:col>8</xdr:col>
      <xdr:colOff>525577</xdr:colOff>
      <xdr:row>124</xdr:row>
      <xdr:rowOff>98551</xdr:rowOff>
    </xdr:from>
    <xdr:to>
      <xdr:col>9</xdr:col>
      <xdr:colOff>58852</xdr:colOff>
      <xdr:row>126</xdr:row>
      <xdr:rowOff>9896</xdr:rowOff>
    </xdr:to>
    <xdr:sp macro="" textlink="計算シート!J49">
      <xdr:nvSpPr>
        <xdr:cNvPr id="235" name="テキスト ボックス 234">
          <a:extLst>
            <a:ext uri="{FF2B5EF4-FFF2-40B4-BE49-F238E27FC236}">
              <a16:creationId xmlns:a16="http://schemas.microsoft.com/office/drawing/2014/main" id="{00000000-0008-0000-0A00-0000EB000000}"/>
            </a:ext>
          </a:extLst>
        </xdr:cNvPr>
        <xdr:cNvSpPr txBox="1"/>
      </xdr:nvSpPr>
      <xdr:spPr>
        <a:xfrm>
          <a:off x="6050077" y="20767801"/>
          <a:ext cx="223838" cy="2447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fld id="{16378AAD-5A19-49AB-88B7-0A15939F8486}" type="TxLink">
            <a:rPr kumimoji="1" lang="ja-JP" altLang="en-US" sz="1100" b="0" i="0" u="none" strike="noStrike">
              <a:solidFill>
                <a:srgbClr val="000000"/>
              </a:solidFill>
              <a:latin typeface="ＭＳ Ｐゴシック"/>
              <a:ea typeface="ＭＳ Ｐゴシック"/>
            </a:rPr>
            <a:pPr/>
            <a:t> </a:t>
          </a:fld>
          <a:endParaRPr kumimoji="1" lang="ja-JP" altLang="en-US" sz="1050">
            <a:latin typeface="OCRB" panose="020B0609020202020204" pitchFamily="49" charset="0"/>
          </a:endParaRPr>
        </a:p>
      </xdr:txBody>
    </xdr:sp>
    <xdr:clientData/>
  </xdr:twoCellAnchor>
  <xdr:twoCellAnchor editAs="oneCell">
    <xdr:from>
      <xdr:col>0</xdr:col>
      <xdr:colOff>95252</xdr:colOff>
      <xdr:row>133</xdr:row>
      <xdr:rowOff>142877</xdr:rowOff>
    </xdr:from>
    <xdr:to>
      <xdr:col>10</xdr:col>
      <xdr:colOff>679530</xdr:colOff>
      <xdr:row>195</xdr:row>
      <xdr:rowOff>152402</xdr:rowOff>
    </xdr:to>
    <xdr:pic>
      <xdr:nvPicPr>
        <xdr:cNvPr id="236" name="Picture 1">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252" y="23276203"/>
          <a:ext cx="7458843" cy="10793482"/>
        </a:xfrm>
        <a:prstGeom prst="rect">
          <a:avLst/>
        </a:prstGeom>
        <a:noFill/>
        <a:ln w="1">
          <a:noFill/>
          <a:miter lim="800000"/>
          <a:headEnd/>
          <a:tailEnd type="none" w="med" len="med"/>
        </a:ln>
        <a:effectLst/>
      </xdr:spPr>
    </xdr:pic>
    <xdr:clientData/>
  </xdr:twoCellAnchor>
  <xdr:twoCellAnchor>
    <xdr:from>
      <xdr:col>3</xdr:col>
      <xdr:colOff>484555</xdr:colOff>
      <xdr:row>142</xdr:row>
      <xdr:rowOff>21983</xdr:rowOff>
    </xdr:from>
    <xdr:to>
      <xdr:col>4</xdr:col>
      <xdr:colOff>14899</xdr:colOff>
      <xdr:row>143</xdr:row>
      <xdr:rowOff>104777</xdr:rowOff>
    </xdr:to>
    <xdr:sp macro="" textlink="計算シート!J50">
      <xdr:nvSpPr>
        <xdr:cNvPr id="239" name="テキスト ボックス 238">
          <a:extLst>
            <a:ext uri="{FF2B5EF4-FFF2-40B4-BE49-F238E27FC236}">
              <a16:creationId xmlns:a16="http://schemas.microsoft.com/office/drawing/2014/main" id="{00000000-0008-0000-0A00-0000EF000000}"/>
            </a:ext>
          </a:extLst>
        </xdr:cNvPr>
        <xdr:cNvSpPr txBox="1"/>
      </xdr:nvSpPr>
      <xdr:spPr>
        <a:xfrm>
          <a:off x="2556243" y="23691608"/>
          <a:ext cx="220906"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75ACC2B-B758-4B60-A935-EFB1A2697C58}"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425939</xdr:colOff>
      <xdr:row>142</xdr:row>
      <xdr:rowOff>21983</xdr:rowOff>
    </xdr:from>
    <xdr:to>
      <xdr:col>2</xdr:col>
      <xdr:colOff>645014</xdr:colOff>
      <xdr:row>143</xdr:row>
      <xdr:rowOff>104777</xdr:rowOff>
    </xdr:to>
    <xdr:sp macro="" textlink="計算シート!I50">
      <xdr:nvSpPr>
        <xdr:cNvPr id="240" name="テキスト ボックス 239">
          <a:extLst>
            <a:ext uri="{FF2B5EF4-FFF2-40B4-BE49-F238E27FC236}">
              <a16:creationId xmlns:a16="http://schemas.microsoft.com/office/drawing/2014/main" id="{00000000-0008-0000-0A00-0000F0000000}"/>
            </a:ext>
          </a:extLst>
        </xdr:cNvPr>
        <xdr:cNvSpPr txBox="1"/>
      </xdr:nvSpPr>
      <xdr:spPr>
        <a:xfrm>
          <a:off x="1807064" y="23691608"/>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49BF8C3-8852-4A1C-9FD9-FC14EB7F3A1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469900</xdr:colOff>
      <xdr:row>142</xdr:row>
      <xdr:rowOff>21983</xdr:rowOff>
    </xdr:from>
    <xdr:to>
      <xdr:col>1</xdr:col>
      <xdr:colOff>688975</xdr:colOff>
      <xdr:row>143</xdr:row>
      <xdr:rowOff>104777</xdr:rowOff>
    </xdr:to>
    <xdr:sp macro="" textlink="計算シート!H50">
      <xdr:nvSpPr>
        <xdr:cNvPr id="241" name="テキスト ボックス 240">
          <a:extLst>
            <a:ext uri="{FF2B5EF4-FFF2-40B4-BE49-F238E27FC236}">
              <a16:creationId xmlns:a16="http://schemas.microsoft.com/office/drawing/2014/main" id="{00000000-0008-0000-0A00-0000F1000000}"/>
            </a:ext>
          </a:extLst>
        </xdr:cNvPr>
        <xdr:cNvSpPr txBox="1"/>
      </xdr:nvSpPr>
      <xdr:spPr>
        <a:xfrm>
          <a:off x="1160463" y="23691608"/>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21C93D5-43C2-4D79-B4BA-B0882473EA2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477228</xdr:colOff>
      <xdr:row>144</xdr:row>
      <xdr:rowOff>51290</xdr:rowOff>
    </xdr:from>
    <xdr:to>
      <xdr:col>4</xdr:col>
      <xdr:colOff>5741</xdr:colOff>
      <xdr:row>145</xdr:row>
      <xdr:rowOff>134085</xdr:rowOff>
    </xdr:to>
    <xdr:sp macro="" textlink="計算シート!J51">
      <xdr:nvSpPr>
        <xdr:cNvPr id="242" name="テキスト ボックス 241">
          <a:extLst>
            <a:ext uri="{FF2B5EF4-FFF2-40B4-BE49-F238E27FC236}">
              <a16:creationId xmlns:a16="http://schemas.microsoft.com/office/drawing/2014/main" id="{00000000-0008-0000-0A00-0000F2000000}"/>
            </a:ext>
          </a:extLst>
        </xdr:cNvPr>
        <xdr:cNvSpPr txBox="1"/>
      </xdr:nvSpPr>
      <xdr:spPr>
        <a:xfrm>
          <a:off x="2548916" y="24054290"/>
          <a:ext cx="219075"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1F6B089-9700-40FC-98F3-D1251A4B162C}"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418612</xdr:colOff>
      <xdr:row>144</xdr:row>
      <xdr:rowOff>51290</xdr:rowOff>
    </xdr:from>
    <xdr:to>
      <xdr:col>2</xdr:col>
      <xdr:colOff>637687</xdr:colOff>
      <xdr:row>145</xdr:row>
      <xdr:rowOff>134085</xdr:rowOff>
    </xdr:to>
    <xdr:sp macro="" textlink="計算シート!I51">
      <xdr:nvSpPr>
        <xdr:cNvPr id="243" name="テキスト ボックス 242">
          <a:extLst>
            <a:ext uri="{FF2B5EF4-FFF2-40B4-BE49-F238E27FC236}">
              <a16:creationId xmlns:a16="http://schemas.microsoft.com/office/drawing/2014/main" id="{00000000-0008-0000-0A00-0000F3000000}"/>
            </a:ext>
          </a:extLst>
        </xdr:cNvPr>
        <xdr:cNvSpPr txBox="1"/>
      </xdr:nvSpPr>
      <xdr:spPr>
        <a:xfrm>
          <a:off x="1799737" y="24054290"/>
          <a:ext cx="219075"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430029A-15F6-4E56-95CD-C7F2DFB9BED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462573</xdr:colOff>
      <xdr:row>144</xdr:row>
      <xdr:rowOff>51290</xdr:rowOff>
    </xdr:from>
    <xdr:to>
      <xdr:col>1</xdr:col>
      <xdr:colOff>681648</xdr:colOff>
      <xdr:row>145</xdr:row>
      <xdr:rowOff>134085</xdr:rowOff>
    </xdr:to>
    <xdr:sp macro="" textlink="計算シート!H51">
      <xdr:nvSpPr>
        <xdr:cNvPr id="244" name="テキスト ボックス 243">
          <a:extLst>
            <a:ext uri="{FF2B5EF4-FFF2-40B4-BE49-F238E27FC236}">
              <a16:creationId xmlns:a16="http://schemas.microsoft.com/office/drawing/2014/main" id="{00000000-0008-0000-0A00-0000F4000000}"/>
            </a:ext>
          </a:extLst>
        </xdr:cNvPr>
        <xdr:cNvSpPr txBox="1"/>
      </xdr:nvSpPr>
      <xdr:spPr>
        <a:xfrm>
          <a:off x="1153136" y="24054290"/>
          <a:ext cx="219075"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2921685-F342-4A48-9877-21A04F03BB97}"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9</xdr:col>
      <xdr:colOff>689709</xdr:colOff>
      <xdr:row>142</xdr:row>
      <xdr:rowOff>7329</xdr:rowOff>
    </xdr:from>
    <xdr:to>
      <xdr:col>10</xdr:col>
      <xdr:colOff>220053</xdr:colOff>
      <xdr:row>143</xdr:row>
      <xdr:rowOff>90123</xdr:rowOff>
    </xdr:to>
    <xdr:sp macro="" textlink="計算シート!J52">
      <xdr:nvSpPr>
        <xdr:cNvPr id="245" name="テキスト ボックス 244">
          <a:extLst>
            <a:ext uri="{FF2B5EF4-FFF2-40B4-BE49-F238E27FC236}">
              <a16:creationId xmlns:a16="http://schemas.microsoft.com/office/drawing/2014/main" id="{00000000-0008-0000-0A00-0000F5000000}"/>
            </a:ext>
          </a:extLst>
        </xdr:cNvPr>
        <xdr:cNvSpPr txBox="1"/>
      </xdr:nvSpPr>
      <xdr:spPr>
        <a:xfrm>
          <a:off x="6904772" y="23676954"/>
          <a:ext cx="220906"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260794C-AA3D-44DC-B6D7-3AF45A292305}"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682383</xdr:colOff>
      <xdr:row>142</xdr:row>
      <xdr:rowOff>7329</xdr:rowOff>
    </xdr:from>
    <xdr:to>
      <xdr:col>9</xdr:col>
      <xdr:colOff>212727</xdr:colOff>
      <xdr:row>143</xdr:row>
      <xdr:rowOff>90123</xdr:rowOff>
    </xdr:to>
    <xdr:sp macro="" textlink="計算シート!I52">
      <xdr:nvSpPr>
        <xdr:cNvPr id="246" name="テキスト ボックス 245">
          <a:extLst>
            <a:ext uri="{FF2B5EF4-FFF2-40B4-BE49-F238E27FC236}">
              <a16:creationId xmlns:a16="http://schemas.microsoft.com/office/drawing/2014/main" id="{00000000-0008-0000-0A00-0000F6000000}"/>
            </a:ext>
          </a:extLst>
        </xdr:cNvPr>
        <xdr:cNvSpPr txBox="1"/>
      </xdr:nvSpPr>
      <xdr:spPr>
        <a:xfrm>
          <a:off x="6206883" y="23676954"/>
          <a:ext cx="220907"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8824200-D45B-47EE-BBC3-0F10C006EABF}"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623766</xdr:colOff>
      <xdr:row>142</xdr:row>
      <xdr:rowOff>7329</xdr:rowOff>
    </xdr:from>
    <xdr:to>
      <xdr:col>8</xdr:col>
      <xdr:colOff>154110</xdr:colOff>
      <xdr:row>143</xdr:row>
      <xdr:rowOff>90123</xdr:rowOff>
    </xdr:to>
    <xdr:sp macro="" textlink="計算シート!H52">
      <xdr:nvSpPr>
        <xdr:cNvPr id="247" name="テキスト ボックス 246">
          <a:extLst>
            <a:ext uri="{FF2B5EF4-FFF2-40B4-BE49-F238E27FC236}">
              <a16:creationId xmlns:a16="http://schemas.microsoft.com/office/drawing/2014/main" id="{00000000-0008-0000-0A00-0000F7000000}"/>
            </a:ext>
          </a:extLst>
        </xdr:cNvPr>
        <xdr:cNvSpPr txBox="1"/>
      </xdr:nvSpPr>
      <xdr:spPr>
        <a:xfrm>
          <a:off x="5457704" y="23676954"/>
          <a:ext cx="220906"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4BDCF6C-7BD4-421C-B01B-E613C9AF4870}"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484555</xdr:colOff>
      <xdr:row>147</xdr:row>
      <xdr:rowOff>139214</xdr:rowOff>
    </xdr:from>
    <xdr:to>
      <xdr:col>4</xdr:col>
      <xdr:colOff>14899</xdr:colOff>
      <xdr:row>149</xdr:row>
      <xdr:rowOff>53489</xdr:rowOff>
    </xdr:to>
    <xdr:sp macro="" textlink="計算シート!J53">
      <xdr:nvSpPr>
        <xdr:cNvPr id="248" name="テキスト ボックス 247">
          <a:extLst>
            <a:ext uri="{FF2B5EF4-FFF2-40B4-BE49-F238E27FC236}">
              <a16:creationId xmlns:a16="http://schemas.microsoft.com/office/drawing/2014/main" id="{00000000-0008-0000-0A00-0000F8000000}"/>
            </a:ext>
          </a:extLst>
        </xdr:cNvPr>
        <xdr:cNvSpPr txBox="1"/>
      </xdr:nvSpPr>
      <xdr:spPr>
        <a:xfrm>
          <a:off x="2556243" y="24642277"/>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557D0F0-84CF-4CE9-9610-4CAB4310A21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425939</xdr:colOff>
      <xdr:row>147</xdr:row>
      <xdr:rowOff>139214</xdr:rowOff>
    </xdr:from>
    <xdr:to>
      <xdr:col>2</xdr:col>
      <xdr:colOff>645014</xdr:colOff>
      <xdr:row>149</xdr:row>
      <xdr:rowOff>53489</xdr:rowOff>
    </xdr:to>
    <xdr:sp macro="" textlink="計算シート!I53">
      <xdr:nvSpPr>
        <xdr:cNvPr id="249" name="テキスト ボックス 248">
          <a:extLst>
            <a:ext uri="{FF2B5EF4-FFF2-40B4-BE49-F238E27FC236}">
              <a16:creationId xmlns:a16="http://schemas.microsoft.com/office/drawing/2014/main" id="{00000000-0008-0000-0A00-0000F9000000}"/>
            </a:ext>
          </a:extLst>
        </xdr:cNvPr>
        <xdr:cNvSpPr txBox="1"/>
      </xdr:nvSpPr>
      <xdr:spPr>
        <a:xfrm>
          <a:off x="1807064" y="24642277"/>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F21E8C4-EED3-401C-A313-79AE169EA951}"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469900</xdr:colOff>
      <xdr:row>147</xdr:row>
      <xdr:rowOff>139214</xdr:rowOff>
    </xdr:from>
    <xdr:to>
      <xdr:col>1</xdr:col>
      <xdr:colOff>688975</xdr:colOff>
      <xdr:row>149</xdr:row>
      <xdr:rowOff>53489</xdr:rowOff>
    </xdr:to>
    <xdr:sp macro="" textlink="計算シート!H53">
      <xdr:nvSpPr>
        <xdr:cNvPr id="250" name="テキスト ボックス 249">
          <a:extLst>
            <a:ext uri="{FF2B5EF4-FFF2-40B4-BE49-F238E27FC236}">
              <a16:creationId xmlns:a16="http://schemas.microsoft.com/office/drawing/2014/main" id="{00000000-0008-0000-0A00-0000FA000000}"/>
            </a:ext>
          </a:extLst>
        </xdr:cNvPr>
        <xdr:cNvSpPr txBox="1"/>
      </xdr:nvSpPr>
      <xdr:spPr>
        <a:xfrm>
          <a:off x="1160463" y="24642277"/>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3A2A969-670C-4E67-8AA1-CD567EBACD92}"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484555</xdr:colOff>
      <xdr:row>149</xdr:row>
      <xdr:rowOff>161194</xdr:rowOff>
    </xdr:from>
    <xdr:to>
      <xdr:col>4</xdr:col>
      <xdr:colOff>14899</xdr:colOff>
      <xdr:row>151</xdr:row>
      <xdr:rowOff>75470</xdr:rowOff>
    </xdr:to>
    <xdr:sp macro="" textlink="計算シート!J54">
      <xdr:nvSpPr>
        <xdr:cNvPr id="251" name="テキスト ボックス 250">
          <a:extLst>
            <a:ext uri="{FF2B5EF4-FFF2-40B4-BE49-F238E27FC236}">
              <a16:creationId xmlns:a16="http://schemas.microsoft.com/office/drawing/2014/main" id="{00000000-0008-0000-0A00-0000FB000000}"/>
            </a:ext>
          </a:extLst>
        </xdr:cNvPr>
        <xdr:cNvSpPr txBox="1"/>
      </xdr:nvSpPr>
      <xdr:spPr>
        <a:xfrm>
          <a:off x="2556243" y="24997632"/>
          <a:ext cx="220906"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8E648B1-8913-479E-9BDF-C6688959A6B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425939</xdr:colOff>
      <xdr:row>149</xdr:row>
      <xdr:rowOff>161194</xdr:rowOff>
    </xdr:from>
    <xdr:to>
      <xdr:col>2</xdr:col>
      <xdr:colOff>645014</xdr:colOff>
      <xdr:row>151</xdr:row>
      <xdr:rowOff>75470</xdr:rowOff>
    </xdr:to>
    <xdr:sp macro="" textlink="計算シート!I54">
      <xdr:nvSpPr>
        <xdr:cNvPr id="252" name="テキスト ボックス 251">
          <a:extLst>
            <a:ext uri="{FF2B5EF4-FFF2-40B4-BE49-F238E27FC236}">
              <a16:creationId xmlns:a16="http://schemas.microsoft.com/office/drawing/2014/main" id="{00000000-0008-0000-0A00-0000FC000000}"/>
            </a:ext>
          </a:extLst>
        </xdr:cNvPr>
        <xdr:cNvSpPr txBox="1"/>
      </xdr:nvSpPr>
      <xdr:spPr>
        <a:xfrm>
          <a:off x="1807064" y="24997632"/>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42DD4B1-04B8-4D89-8E67-1B03B64D9031}"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469900</xdr:colOff>
      <xdr:row>149</xdr:row>
      <xdr:rowOff>161194</xdr:rowOff>
    </xdr:from>
    <xdr:to>
      <xdr:col>1</xdr:col>
      <xdr:colOff>688975</xdr:colOff>
      <xdr:row>151</xdr:row>
      <xdr:rowOff>75470</xdr:rowOff>
    </xdr:to>
    <xdr:sp macro="" textlink="計算シート!H54">
      <xdr:nvSpPr>
        <xdr:cNvPr id="253" name="テキスト ボックス 252">
          <a:extLst>
            <a:ext uri="{FF2B5EF4-FFF2-40B4-BE49-F238E27FC236}">
              <a16:creationId xmlns:a16="http://schemas.microsoft.com/office/drawing/2014/main" id="{00000000-0008-0000-0A00-0000FD000000}"/>
            </a:ext>
          </a:extLst>
        </xdr:cNvPr>
        <xdr:cNvSpPr txBox="1"/>
      </xdr:nvSpPr>
      <xdr:spPr>
        <a:xfrm>
          <a:off x="1160463" y="24997632"/>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AADBD97-1A7A-42F5-A889-2C5F15F1881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484555</xdr:colOff>
      <xdr:row>152</xdr:row>
      <xdr:rowOff>29309</xdr:rowOff>
    </xdr:from>
    <xdr:to>
      <xdr:col>4</xdr:col>
      <xdr:colOff>14899</xdr:colOff>
      <xdr:row>153</xdr:row>
      <xdr:rowOff>112104</xdr:rowOff>
    </xdr:to>
    <xdr:sp macro="" textlink="計算シート!J55">
      <xdr:nvSpPr>
        <xdr:cNvPr id="254" name="テキスト ボックス 253">
          <a:extLst>
            <a:ext uri="{FF2B5EF4-FFF2-40B4-BE49-F238E27FC236}">
              <a16:creationId xmlns:a16="http://schemas.microsoft.com/office/drawing/2014/main" id="{00000000-0008-0000-0A00-0000FE000000}"/>
            </a:ext>
          </a:extLst>
        </xdr:cNvPr>
        <xdr:cNvSpPr txBox="1"/>
      </xdr:nvSpPr>
      <xdr:spPr>
        <a:xfrm>
          <a:off x="2556243" y="25365809"/>
          <a:ext cx="220906"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6D8F16B-AEB9-491D-9C02-35FB188B41E0}"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425939</xdr:colOff>
      <xdr:row>152</xdr:row>
      <xdr:rowOff>29309</xdr:rowOff>
    </xdr:from>
    <xdr:to>
      <xdr:col>2</xdr:col>
      <xdr:colOff>645014</xdr:colOff>
      <xdr:row>153</xdr:row>
      <xdr:rowOff>112104</xdr:rowOff>
    </xdr:to>
    <xdr:sp macro="" textlink="計算シート!I55">
      <xdr:nvSpPr>
        <xdr:cNvPr id="255" name="テキスト ボックス 254">
          <a:extLst>
            <a:ext uri="{FF2B5EF4-FFF2-40B4-BE49-F238E27FC236}">
              <a16:creationId xmlns:a16="http://schemas.microsoft.com/office/drawing/2014/main" id="{00000000-0008-0000-0A00-0000FF000000}"/>
            </a:ext>
          </a:extLst>
        </xdr:cNvPr>
        <xdr:cNvSpPr txBox="1"/>
      </xdr:nvSpPr>
      <xdr:spPr>
        <a:xfrm>
          <a:off x="1807064" y="25365809"/>
          <a:ext cx="219075"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BDA53F3-3E6C-4695-BB2C-36CCED93835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469900</xdr:colOff>
      <xdr:row>152</xdr:row>
      <xdr:rowOff>29309</xdr:rowOff>
    </xdr:from>
    <xdr:to>
      <xdr:col>1</xdr:col>
      <xdr:colOff>688975</xdr:colOff>
      <xdr:row>153</xdr:row>
      <xdr:rowOff>112104</xdr:rowOff>
    </xdr:to>
    <xdr:sp macro="" textlink="計算シート!H55">
      <xdr:nvSpPr>
        <xdr:cNvPr id="256" name="テキスト ボックス 255">
          <a:extLst>
            <a:ext uri="{FF2B5EF4-FFF2-40B4-BE49-F238E27FC236}">
              <a16:creationId xmlns:a16="http://schemas.microsoft.com/office/drawing/2014/main" id="{00000000-0008-0000-0A00-000000010000}"/>
            </a:ext>
          </a:extLst>
        </xdr:cNvPr>
        <xdr:cNvSpPr txBox="1"/>
      </xdr:nvSpPr>
      <xdr:spPr>
        <a:xfrm>
          <a:off x="1160463" y="25365809"/>
          <a:ext cx="219075"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F45F3D4-8EC8-45E2-A274-EE5546F7710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484555</xdr:colOff>
      <xdr:row>154</xdr:row>
      <xdr:rowOff>58617</xdr:rowOff>
    </xdr:from>
    <xdr:to>
      <xdr:col>4</xdr:col>
      <xdr:colOff>14899</xdr:colOff>
      <xdr:row>155</xdr:row>
      <xdr:rowOff>141412</xdr:rowOff>
    </xdr:to>
    <xdr:sp macro="" textlink="計算シート!J56">
      <xdr:nvSpPr>
        <xdr:cNvPr id="257" name="テキスト ボックス 256">
          <a:extLst>
            <a:ext uri="{FF2B5EF4-FFF2-40B4-BE49-F238E27FC236}">
              <a16:creationId xmlns:a16="http://schemas.microsoft.com/office/drawing/2014/main" id="{00000000-0008-0000-0A00-000001010000}"/>
            </a:ext>
          </a:extLst>
        </xdr:cNvPr>
        <xdr:cNvSpPr txBox="1"/>
      </xdr:nvSpPr>
      <xdr:spPr>
        <a:xfrm>
          <a:off x="2556243" y="25728492"/>
          <a:ext cx="220906"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40D1BF7-255E-477F-9BAF-CC477A2D64CD}"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425939</xdr:colOff>
      <xdr:row>154</xdr:row>
      <xdr:rowOff>58617</xdr:rowOff>
    </xdr:from>
    <xdr:to>
      <xdr:col>2</xdr:col>
      <xdr:colOff>645014</xdr:colOff>
      <xdr:row>155</xdr:row>
      <xdr:rowOff>141412</xdr:rowOff>
    </xdr:to>
    <xdr:sp macro="" textlink="計算シート!I56">
      <xdr:nvSpPr>
        <xdr:cNvPr id="258" name="テキスト ボックス 257">
          <a:extLst>
            <a:ext uri="{FF2B5EF4-FFF2-40B4-BE49-F238E27FC236}">
              <a16:creationId xmlns:a16="http://schemas.microsoft.com/office/drawing/2014/main" id="{00000000-0008-0000-0A00-000002010000}"/>
            </a:ext>
          </a:extLst>
        </xdr:cNvPr>
        <xdr:cNvSpPr txBox="1"/>
      </xdr:nvSpPr>
      <xdr:spPr>
        <a:xfrm>
          <a:off x="1807064" y="25728492"/>
          <a:ext cx="219075"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A45D453-419A-42E8-BC21-D05EAF8E6F1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1</xdr:col>
      <xdr:colOff>469900</xdr:colOff>
      <xdr:row>154</xdr:row>
      <xdr:rowOff>58617</xdr:rowOff>
    </xdr:from>
    <xdr:to>
      <xdr:col>1</xdr:col>
      <xdr:colOff>688975</xdr:colOff>
      <xdr:row>155</xdr:row>
      <xdr:rowOff>141412</xdr:rowOff>
    </xdr:to>
    <xdr:sp macro="" textlink="計算シート!H56">
      <xdr:nvSpPr>
        <xdr:cNvPr id="259" name="テキスト ボックス 258">
          <a:extLst>
            <a:ext uri="{FF2B5EF4-FFF2-40B4-BE49-F238E27FC236}">
              <a16:creationId xmlns:a16="http://schemas.microsoft.com/office/drawing/2014/main" id="{00000000-0008-0000-0A00-000003010000}"/>
            </a:ext>
          </a:extLst>
        </xdr:cNvPr>
        <xdr:cNvSpPr txBox="1"/>
      </xdr:nvSpPr>
      <xdr:spPr>
        <a:xfrm>
          <a:off x="1160463" y="25728492"/>
          <a:ext cx="219075"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B74132A-B84C-468A-AC8C-D140CB8734C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4</xdr:col>
      <xdr:colOff>477228</xdr:colOff>
      <xdr:row>152</xdr:row>
      <xdr:rowOff>29309</xdr:rowOff>
    </xdr:from>
    <xdr:to>
      <xdr:col>5</xdr:col>
      <xdr:colOff>5740</xdr:colOff>
      <xdr:row>153</xdr:row>
      <xdr:rowOff>112104</xdr:rowOff>
    </xdr:to>
    <xdr:sp macro="" textlink="計算シート!K55">
      <xdr:nvSpPr>
        <xdr:cNvPr id="260" name="テキスト ボックス 259">
          <a:extLst>
            <a:ext uri="{FF2B5EF4-FFF2-40B4-BE49-F238E27FC236}">
              <a16:creationId xmlns:a16="http://schemas.microsoft.com/office/drawing/2014/main" id="{00000000-0008-0000-0A00-000004010000}"/>
            </a:ext>
          </a:extLst>
        </xdr:cNvPr>
        <xdr:cNvSpPr txBox="1"/>
      </xdr:nvSpPr>
      <xdr:spPr>
        <a:xfrm>
          <a:off x="3239478" y="25365809"/>
          <a:ext cx="219075"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F6BBC36-7731-4E1A-ABF5-69019F6A5EC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682382</xdr:colOff>
      <xdr:row>147</xdr:row>
      <xdr:rowOff>139214</xdr:rowOff>
    </xdr:from>
    <xdr:to>
      <xdr:col>9</xdr:col>
      <xdr:colOff>212726</xdr:colOff>
      <xdr:row>149</xdr:row>
      <xdr:rowOff>53489</xdr:rowOff>
    </xdr:to>
    <xdr:sp macro="" textlink="計算シート!J57">
      <xdr:nvSpPr>
        <xdr:cNvPr id="261" name="テキスト ボックス 260">
          <a:extLst>
            <a:ext uri="{FF2B5EF4-FFF2-40B4-BE49-F238E27FC236}">
              <a16:creationId xmlns:a16="http://schemas.microsoft.com/office/drawing/2014/main" id="{00000000-0008-0000-0A00-000005010000}"/>
            </a:ext>
          </a:extLst>
        </xdr:cNvPr>
        <xdr:cNvSpPr txBox="1"/>
      </xdr:nvSpPr>
      <xdr:spPr>
        <a:xfrm>
          <a:off x="6206882" y="24642277"/>
          <a:ext cx="220907"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FFF14F7-52D4-48EC-AA1A-69E3744F29D8}"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623767</xdr:colOff>
      <xdr:row>147</xdr:row>
      <xdr:rowOff>139214</xdr:rowOff>
    </xdr:from>
    <xdr:to>
      <xdr:col>8</xdr:col>
      <xdr:colOff>154111</xdr:colOff>
      <xdr:row>149</xdr:row>
      <xdr:rowOff>53489</xdr:rowOff>
    </xdr:to>
    <xdr:sp macro="" textlink="計算シート!I57">
      <xdr:nvSpPr>
        <xdr:cNvPr id="262" name="テキスト ボックス 261">
          <a:extLst>
            <a:ext uri="{FF2B5EF4-FFF2-40B4-BE49-F238E27FC236}">
              <a16:creationId xmlns:a16="http://schemas.microsoft.com/office/drawing/2014/main" id="{00000000-0008-0000-0A00-000006010000}"/>
            </a:ext>
          </a:extLst>
        </xdr:cNvPr>
        <xdr:cNvSpPr txBox="1"/>
      </xdr:nvSpPr>
      <xdr:spPr>
        <a:xfrm>
          <a:off x="5457705" y="24642277"/>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550F17F-FAEE-4623-AE4F-578891B8CC27}"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6</xdr:col>
      <xdr:colOff>667727</xdr:colOff>
      <xdr:row>147</xdr:row>
      <xdr:rowOff>139214</xdr:rowOff>
    </xdr:from>
    <xdr:to>
      <xdr:col>7</xdr:col>
      <xdr:colOff>198072</xdr:colOff>
      <xdr:row>149</xdr:row>
      <xdr:rowOff>53489</xdr:rowOff>
    </xdr:to>
    <xdr:sp macro="" textlink="計算シート!H57">
      <xdr:nvSpPr>
        <xdr:cNvPr id="263" name="テキスト ボックス 262">
          <a:extLst>
            <a:ext uri="{FF2B5EF4-FFF2-40B4-BE49-F238E27FC236}">
              <a16:creationId xmlns:a16="http://schemas.microsoft.com/office/drawing/2014/main" id="{00000000-0008-0000-0A00-000007010000}"/>
            </a:ext>
          </a:extLst>
        </xdr:cNvPr>
        <xdr:cNvSpPr txBox="1"/>
      </xdr:nvSpPr>
      <xdr:spPr>
        <a:xfrm>
          <a:off x="4811102" y="24642277"/>
          <a:ext cx="22090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278C140-AA88-4195-A756-AEB07837EE9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9</xdr:col>
      <xdr:colOff>675055</xdr:colOff>
      <xdr:row>147</xdr:row>
      <xdr:rowOff>139214</xdr:rowOff>
    </xdr:from>
    <xdr:to>
      <xdr:col>10</xdr:col>
      <xdr:colOff>205399</xdr:colOff>
      <xdr:row>149</xdr:row>
      <xdr:rowOff>53489</xdr:rowOff>
    </xdr:to>
    <xdr:sp macro="" textlink="計算シート!K57">
      <xdr:nvSpPr>
        <xdr:cNvPr id="264" name="テキスト ボックス 263">
          <a:extLst>
            <a:ext uri="{FF2B5EF4-FFF2-40B4-BE49-F238E27FC236}">
              <a16:creationId xmlns:a16="http://schemas.microsoft.com/office/drawing/2014/main" id="{00000000-0008-0000-0A00-000008010000}"/>
            </a:ext>
          </a:extLst>
        </xdr:cNvPr>
        <xdr:cNvSpPr txBox="1"/>
      </xdr:nvSpPr>
      <xdr:spPr>
        <a:xfrm>
          <a:off x="6890118" y="24642277"/>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F80D122-F7B2-4C5A-8FA5-45CF504B37D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682382</xdr:colOff>
      <xdr:row>150</xdr:row>
      <xdr:rowOff>7329</xdr:rowOff>
    </xdr:from>
    <xdr:to>
      <xdr:col>9</xdr:col>
      <xdr:colOff>212726</xdr:colOff>
      <xdr:row>151</xdr:row>
      <xdr:rowOff>90124</xdr:rowOff>
    </xdr:to>
    <xdr:sp macro="" textlink="計算シート!J58">
      <xdr:nvSpPr>
        <xdr:cNvPr id="265" name="テキスト ボックス 264">
          <a:extLst>
            <a:ext uri="{FF2B5EF4-FFF2-40B4-BE49-F238E27FC236}">
              <a16:creationId xmlns:a16="http://schemas.microsoft.com/office/drawing/2014/main" id="{00000000-0008-0000-0A00-000009010000}"/>
            </a:ext>
          </a:extLst>
        </xdr:cNvPr>
        <xdr:cNvSpPr txBox="1"/>
      </xdr:nvSpPr>
      <xdr:spPr>
        <a:xfrm>
          <a:off x="6206882" y="25010454"/>
          <a:ext cx="220907"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1EA2951-4D97-4AFC-853D-58FB69953B60}"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623767</xdr:colOff>
      <xdr:row>150</xdr:row>
      <xdr:rowOff>7329</xdr:rowOff>
    </xdr:from>
    <xdr:to>
      <xdr:col>8</xdr:col>
      <xdr:colOff>154111</xdr:colOff>
      <xdr:row>151</xdr:row>
      <xdr:rowOff>90124</xdr:rowOff>
    </xdr:to>
    <xdr:sp macro="" textlink="計算シート!I58">
      <xdr:nvSpPr>
        <xdr:cNvPr id="266" name="テキスト ボックス 265">
          <a:extLst>
            <a:ext uri="{FF2B5EF4-FFF2-40B4-BE49-F238E27FC236}">
              <a16:creationId xmlns:a16="http://schemas.microsoft.com/office/drawing/2014/main" id="{00000000-0008-0000-0A00-00000A010000}"/>
            </a:ext>
          </a:extLst>
        </xdr:cNvPr>
        <xdr:cNvSpPr txBox="1"/>
      </xdr:nvSpPr>
      <xdr:spPr>
        <a:xfrm>
          <a:off x="5457705" y="25010454"/>
          <a:ext cx="220906"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F1AD030-2F64-463B-A984-6E943912AF7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6</xdr:col>
      <xdr:colOff>667727</xdr:colOff>
      <xdr:row>150</xdr:row>
      <xdr:rowOff>7329</xdr:rowOff>
    </xdr:from>
    <xdr:to>
      <xdr:col>7</xdr:col>
      <xdr:colOff>198072</xdr:colOff>
      <xdr:row>151</xdr:row>
      <xdr:rowOff>90124</xdr:rowOff>
    </xdr:to>
    <xdr:sp macro="" textlink="計算シート!H58">
      <xdr:nvSpPr>
        <xdr:cNvPr id="267" name="テキスト ボックス 266">
          <a:extLst>
            <a:ext uri="{FF2B5EF4-FFF2-40B4-BE49-F238E27FC236}">
              <a16:creationId xmlns:a16="http://schemas.microsoft.com/office/drawing/2014/main" id="{00000000-0008-0000-0A00-00000B010000}"/>
            </a:ext>
          </a:extLst>
        </xdr:cNvPr>
        <xdr:cNvSpPr txBox="1"/>
      </xdr:nvSpPr>
      <xdr:spPr>
        <a:xfrm>
          <a:off x="4811102" y="25010454"/>
          <a:ext cx="220908"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A6E9CEE-3B9C-4ED7-8DD4-E3D3B68C347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9</xdr:col>
      <xdr:colOff>675055</xdr:colOff>
      <xdr:row>150</xdr:row>
      <xdr:rowOff>7329</xdr:rowOff>
    </xdr:from>
    <xdr:to>
      <xdr:col>10</xdr:col>
      <xdr:colOff>205399</xdr:colOff>
      <xdr:row>151</xdr:row>
      <xdr:rowOff>90124</xdr:rowOff>
    </xdr:to>
    <xdr:sp macro="" textlink="計算シート!K58">
      <xdr:nvSpPr>
        <xdr:cNvPr id="268" name="テキスト ボックス 267">
          <a:extLst>
            <a:ext uri="{FF2B5EF4-FFF2-40B4-BE49-F238E27FC236}">
              <a16:creationId xmlns:a16="http://schemas.microsoft.com/office/drawing/2014/main" id="{00000000-0008-0000-0A00-00000C010000}"/>
            </a:ext>
          </a:extLst>
        </xdr:cNvPr>
        <xdr:cNvSpPr txBox="1"/>
      </xdr:nvSpPr>
      <xdr:spPr>
        <a:xfrm>
          <a:off x="6890118" y="25010454"/>
          <a:ext cx="220906"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45CFD10-C50F-4A36-83E8-F63A2F90B32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279400</xdr:colOff>
      <xdr:row>157</xdr:row>
      <xdr:rowOff>124559</xdr:rowOff>
    </xdr:from>
    <xdr:to>
      <xdr:col>2</xdr:col>
      <xdr:colOff>498475</xdr:colOff>
      <xdr:row>159</xdr:row>
      <xdr:rowOff>38835</xdr:rowOff>
    </xdr:to>
    <xdr:sp macro="" textlink="計算シート!C15">
      <xdr:nvSpPr>
        <xdr:cNvPr id="269" name="テキスト ボックス 268">
          <a:extLst>
            <a:ext uri="{FF2B5EF4-FFF2-40B4-BE49-F238E27FC236}">
              <a16:creationId xmlns:a16="http://schemas.microsoft.com/office/drawing/2014/main" id="{00000000-0008-0000-0A00-00000D010000}"/>
            </a:ext>
          </a:extLst>
        </xdr:cNvPr>
        <xdr:cNvSpPr txBox="1"/>
      </xdr:nvSpPr>
      <xdr:spPr>
        <a:xfrm>
          <a:off x="1660525" y="26294497"/>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6332EF8-203B-4AA2-89F8-E55EC48FED9A}"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279400</xdr:colOff>
      <xdr:row>159</xdr:row>
      <xdr:rowOff>146540</xdr:rowOff>
    </xdr:from>
    <xdr:to>
      <xdr:col>2</xdr:col>
      <xdr:colOff>498475</xdr:colOff>
      <xdr:row>161</xdr:row>
      <xdr:rowOff>60815</xdr:rowOff>
    </xdr:to>
    <xdr:sp macro="" textlink="計算シート!C18">
      <xdr:nvSpPr>
        <xdr:cNvPr id="270" name="テキスト ボックス 269">
          <a:extLst>
            <a:ext uri="{FF2B5EF4-FFF2-40B4-BE49-F238E27FC236}">
              <a16:creationId xmlns:a16="http://schemas.microsoft.com/office/drawing/2014/main" id="{00000000-0008-0000-0A00-00000E010000}"/>
            </a:ext>
          </a:extLst>
        </xdr:cNvPr>
        <xdr:cNvSpPr txBox="1"/>
      </xdr:nvSpPr>
      <xdr:spPr>
        <a:xfrm>
          <a:off x="1660525" y="26649853"/>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CEC3A8E-42C0-40BD-B805-67274086C2BC}"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279400</xdr:colOff>
      <xdr:row>161</xdr:row>
      <xdr:rowOff>161193</xdr:rowOff>
    </xdr:from>
    <xdr:to>
      <xdr:col>2</xdr:col>
      <xdr:colOff>498475</xdr:colOff>
      <xdr:row>163</xdr:row>
      <xdr:rowOff>75469</xdr:rowOff>
    </xdr:to>
    <xdr:sp macro="" textlink="計算シート!C21">
      <xdr:nvSpPr>
        <xdr:cNvPr id="271" name="テキスト ボックス 270">
          <a:extLst>
            <a:ext uri="{FF2B5EF4-FFF2-40B4-BE49-F238E27FC236}">
              <a16:creationId xmlns:a16="http://schemas.microsoft.com/office/drawing/2014/main" id="{00000000-0008-0000-0A00-00000F010000}"/>
            </a:ext>
          </a:extLst>
        </xdr:cNvPr>
        <xdr:cNvSpPr txBox="1"/>
      </xdr:nvSpPr>
      <xdr:spPr>
        <a:xfrm>
          <a:off x="1660525" y="26997881"/>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C731BA6-D0CB-4C54-BD79-B9D3E8AF16D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279400</xdr:colOff>
      <xdr:row>164</xdr:row>
      <xdr:rowOff>1833</xdr:rowOff>
    </xdr:from>
    <xdr:to>
      <xdr:col>2</xdr:col>
      <xdr:colOff>498475</xdr:colOff>
      <xdr:row>165</xdr:row>
      <xdr:rowOff>82795</xdr:rowOff>
    </xdr:to>
    <xdr:sp macro="" textlink="計算シート!C24">
      <xdr:nvSpPr>
        <xdr:cNvPr id="272" name="テキスト ボックス 271">
          <a:extLst>
            <a:ext uri="{FF2B5EF4-FFF2-40B4-BE49-F238E27FC236}">
              <a16:creationId xmlns:a16="http://schemas.microsoft.com/office/drawing/2014/main" id="{00000000-0008-0000-0A00-000010010000}"/>
            </a:ext>
          </a:extLst>
        </xdr:cNvPr>
        <xdr:cNvSpPr txBox="1"/>
      </xdr:nvSpPr>
      <xdr:spPr>
        <a:xfrm>
          <a:off x="1660525" y="27338583"/>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64738665-47C5-4A53-80D6-C03EC9FA78D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279400</xdr:colOff>
      <xdr:row>166</xdr:row>
      <xdr:rowOff>14655</xdr:rowOff>
    </xdr:from>
    <xdr:to>
      <xdr:col>2</xdr:col>
      <xdr:colOff>498475</xdr:colOff>
      <xdr:row>167</xdr:row>
      <xdr:rowOff>97450</xdr:rowOff>
    </xdr:to>
    <xdr:sp macro="" textlink="計算シート!C26">
      <xdr:nvSpPr>
        <xdr:cNvPr id="273" name="テキスト ボックス 272">
          <a:extLst>
            <a:ext uri="{FF2B5EF4-FFF2-40B4-BE49-F238E27FC236}">
              <a16:creationId xmlns:a16="http://schemas.microsoft.com/office/drawing/2014/main" id="{00000000-0008-0000-0A00-000011010000}"/>
            </a:ext>
          </a:extLst>
        </xdr:cNvPr>
        <xdr:cNvSpPr txBox="1"/>
      </xdr:nvSpPr>
      <xdr:spPr>
        <a:xfrm>
          <a:off x="1660525" y="27684780"/>
          <a:ext cx="219075" cy="2494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3F5F608-5F97-432A-BB26-F843698ABF0A}"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118208</xdr:colOff>
      <xdr:row>157</xdr:row>
      <xdr:rowOff>109905</xdr:rowOff>
    </xdr:from>
    <xdr:to>
      <xdr:col>5</xdr:col>
      <xdr:colOff>337283</xdr:colOff>
      <xdr:row>159</xdr:row>
      <xdr:rowOff>24181</xdr:rowOff>
    </xdr:to>
    <xdr:sp macro="" textlink="計算シート!C16">
      <xdr:nvSpPr>
        <xdr:cNvPr id="274" name="テキスト ボックス 273">
          <a:extLst>
            <a:ext uri="{FF2B5EF4-FFF2-40B4-BE49-F238E27FC236}">
              <a16:creationId xmlns:a16="http://schemas.microsoft.com/office/drawing/2014/main" id="{00000000-0008-0000-0A00-000012010000}"/>
            </a:ext>
          </a:extLst>
        </xdr:cNvPr>
        <xdr:cNvSpPr txBox="1"/>
      </xdr:nvSpPr>
      <xdr:spPr>
        <a:xfrm>
          <a:off x="3571021" y="26279843"/>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0BAEB03-97DE-4CCC-B13F-A3380433067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118208</xdr:colOff>
      <xdr:row>159</xdr:row>
      <xdr:rowOff>139213</xdr:rowOff>
    </xdr:from>
    <xdr:to>
      <xdr:col>5</xdr:col>
      <xdr:colOff>337283</xdr:colOff>
      <xdr:row>161</xdr:row>
      <xdr:rowOff>53488</xdr:rowOff>
    </xdr:to>
    <xdr:sp macro="" textlink="計算シート!C19">
      <xdr:nvSpPr>
        <xdr:cNvPr id="275" name="テキスト ボックス 274">
          <a:extLst>
            <a:ext uri="{FF2B5EF4-FFF2-40B4-BE49-F238E27FC236}">
              <a16:creationId xmlns:a16="http://schemas.microsoft.com/office/drawing/2014/main" id="{00000000-0008-0000-0A00-000013010000}"/>
            </a:ext>
          </a:extLst>
        </xdr:cNvPr>
        <xdr:cNvSpPr txBox="1"/>
      </xdr:nvSpPr>
      <xdr:spPr>
        <a:xfrm>
          <a:off x="3571021" y="26642526"/>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594AA6C-8D73-4285-B0C4-68C642E9DAB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118208</xdr:colOff>
      <xdr:row>161</xdr:row>
      <xdr:rowOff>161193</xdr:rowOff>
    </xdr:from>
    <xdr:to>
      <xdr:col>5</xdr:col>
      <xdr:colOff>337283</xdr:colOff>
      <xdr:row>163</xdr:row>
      <xdr:rowOff>75469</xdr:rowOff>
    </xdr:to>
    <xdr:sp macro="" textlink="計算シート!C22">
      <xdr:nvSpPr>
        <xdr:cNvPr id="276" name="テキスト ボックス 275">
          <a:extLst>
            <a:ext uri="{FF2B5EF4-FFF2-40B4-BE49-F238E27FC236}">
              <a16:creationId xmlns:a16="http://schemas.microsoft.com/office/drawing/2014/main" id="{00000000-0008-0000-0A00-000014010000}"/>
            </a:ext>
          </a:extLst>
        </xdr:cNvPr>
        <xdr:cNvSpPr txBox="1"/>
      </xdr:nvSpPr>
      <xdr:spPr>
        <a:xfrm>
          <a:off x="3571021" y="26997881"/>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3E29341-0C41-4711-B22C-E01984D62AD1}"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118208</xdr:colOff>
      <xdr:row>164</xdr:row>
      <xdr:rowOff>1833</xdr:rowOff>
    </xdr:from>
    <xdr:to>
      <xdr:col>5</xdr:col>
      <xdr:colOff>337283</xdr:colOff>
      <xdr:row>165</xdr:row>
      <xdr:rowOff>82795</xdr:rowOff>
    </xdr:to>
    <xdr:sp macro="" textlink="計算シート!C25">
      <xdr:nvSpPr>
        <xdr:cNvPr id="277" name="テキスト ボックス 276">
          <a:extLst>
            <a:ext uri="{FF2B5EF4-FFF2-40B4-BE49-F238E27FC236}">
              <a16:creationId xmlns:a16="http://schemas.microsoft.com/office/drawing/2014/main" id="{00000000-0008-0000-0A00-000015010000}"/>
            </a:ext>
          </a:extLst>
        </xdr:cNvPr>
        <xdr:cNvSpPr txBox="1"/>
      </xdr:nvSpPr>
      <xdr:spPr>
        <a:xfrm>
          <a:off x="3571021" y="27338583"/>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32DC342-AB24-45EE-BB62-294A65303F0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675055</xdr:colOff>
      <xdr:row>157</xdr:row>
      <xdr:rowOff>109905</xdr:rowOff>
    </xdr:from>
    <xdr:to>
      <xdr:col>8</xdr:col>
      <xdr:colOff>205399</xdr:colOff>
      <xdr:row>159</xdr:row>
      <xdr:rowOff>24181</xdr:rowOff>
    </xdr:to>
    <xdr:sp macro="" textlink="計算シート!C17">
      <xdr:nvSpPr>
        <xdr:cNvPr id="278" name="テキスト ボックス 277">
          <a:extLst>
            <a:ext uri="{FF2B5EF4-FFF2-40B4-BE49-F238E27FC236}">
              <a16:creationId xmlns:a16="http://schemas.microsoft.com/office/drawing/2014/main" id="{00000000-0008-0000-0A00-000016010000}"/>
            </a:ext>
          </a:extLst>
        </xdr:cNvPr>
        <xdr:cNvSpPr txBox="1"/>
      </xdr:nvSpPr>
      <xdr:spPr>
        <a:xfrm>
          <a:off x="5508993" y="26279843"/>
          <a:ext cx="220906"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25AC0C1D-8ABE-4DC0-B46B-106484D4125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675055</xdr:colOff>
      <xdr:row>159</xdr:row>
      <xdr:rowOff>139213</xdr:rowOff>
    </xdr:from>
    <xdr:to>
      <xdr:col>8</xdr:col>
      <xdr:colOff>205399</xdr:colOff>
      <xdr:row>161</xdr:row>
      <xdr:rowOff>53488</xdr:rowOff>
    </xdr:to>
    <xdr:sp macro="" textlink="計算シート!C20">
      <xdr:nvSpPr>
        <xdr:cNvPr id="279" name="テキスト ボックス 278">
          <a:extLst>
            <a:ext uri="{FF2B5EF4-FFF2-40B4-BE49-F238E27FC236}">
              <a16:creationId xmlns:a16="http://schemas.microsoft.com/office/drawing/2014/main" id="{00000000-0008-0000-0A00-000017010000}"/>
            </a:ext>
          </a:extLst>
        </xdr:cNvPr>
        <xdr:cNvSpPr txBox="1"/>
      </xdr:nvSpPr>
      <xdr:spPr>
        <a:xfrm>
          <a:off x="5508993" y="26642526"/>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B1CC098-0F4E-44DE-8785-2A6DFF9A472B}"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675055</xdr:colOff>
      <xdr:row>161</xdr:row>
      <xdr:rowOff>161193</xdr:rowOff>
    </xdr:from>
    <xdr:to>
      <xdr:col>8</xdr:col>
      <xdr:colOff>205399</xdr:colOff>
      <xdr:row>163</xdr:row>
      <xdr:rowOff>75469</xdr:rowOff>
    </xdr:to>
    <xdr:sp macro="" textlink="計算シート!C23">
      <xdr:nvSpPr>
        <xdr:cNvPr id="280" name="テキスト ボックス 279">
          <a:extLst>
            <a:ext uri="{FF2B5EF4-FFF2-40B4-BE49-F238E27FC236}">
              <a16:creationId xmlns:a16="http://schemas.microsoft.com/office/drawing/2014/main" id="{00000000-0008-0000-0A00-000018010000}"/>
            </a:ext>
          </a:extLst>
        </xdr:cNvPr>
        <xdr:cNvSpPr txBox="1"/>
      </xdr:nvSpPr>
      <xdr:spPr>
        <a:xfrm>
          <a:off x="5508993" y="26997881"/>
          <a:ext cx="220906"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4BA91B3F-62EF-4FA2-98B6-5DB807CD06F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661623</xdr:colOff>
      <xdr:row>166</xdr:row>
      <xdr:rowOff>29310</xdr:rowOff>
    </xdr:from>
    <xdr:to>
      <xdr:col>9</xdr:col>
      <xdr:colOff>402983</xdr:colOff>
      <xdr:row>167</xdr:row>
      <xdr:rowOff>99161</xdr:rowOff>
    </xdr:to>
    <xdr:sp macro="" textlink="計算シート!H59">
      <xdr:nvSpPr>
        <xdr:cNvPr id="281" name="テキスト ボックス 280">
          <a:extLst>
            <a:ext uri="{FF2B5EF4-FFF2-40B4-BE49-F238E27FC236}">
              <a16:creationId xmlns:a16="http://schemas.microsoft.com/office/drawing/2014/main" id="{00000000-0008-0000-0A00-000019010000}"/>
            </a:ext>
          </a:extLst>
        </xdr:cNvPr>
        <xdr:cNvSpPr txBox="1"/>
      </xdr:nvSpPr>
      <xdr:spPr>
        <a:xfrm>
          <a:off x="6186123" y="27699435"/>
          <a:ext cx="431923" cy="2365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B7BB96BE-31C2-425D-B4DB-23052889AB4E}" type="TxLink">
            <a:rPr kumimoji="1" lang="en-US" altLang="en-US" sz="1100" b="0" i="0" u="none" strike="noStrike" spc="910" baseline="0">
              <a:solidFill>
                <a:srgbClr val="000000"/>
              </a:solidFill>
              <a:latin typeface="OCRB" pitchFamily="49" charset="0"/>
              <a:ea typeface="ＭＳ Ｐゴシック"/>
            </a:rPr>
            <a:pPr algn="r"/>
            <a:t>0</a:t>
          </a:fld>
          <a:endParaRPr kumimoji="1" lang="en-US" altLang="en-US" sz="1050" b="0" i="0" u="none" strike="noStrike" spc="910" baseline="0">
            <a:solidFill>
              <a:srgbClr val="000000"/>
            </a:solidFill>
            <a:latin typeface="OCRB" pitchFamily="49" charset="0"/>
            <a:ea typeface="ＭＳ Ｐゴシック"/>
          </a:endParaRPr>
        </a:p>
      </xdr:txBody>
    </xdr:sp>
    <xdr:clientData/>
  </xdr:twoCellAnchor>
  <xdr:twoCellAnchor>
    <xdr:from>
      <xdr:col>2</xdr:col>
      <xdr:colOff>59593</xdr:colOff>
      <xdr:row>169</xdr:row>
      <xdr:rowOff>29308</xdr:rowOff>
    </xdr:from>
    <xdr:to>
      <xdr:col>2</xdr:col>
      <xdr:colOff>278668</xdr:colOff>
      <xdr:row>170</xdr:row>
      <xdr:rowOff>112103</xdr:rowOff>
    </xdr:to>
    <xdr:sp macro="" textlink="計算シート!H71">
      <xdr:nvSpPr>
        <xdr:cNvPr id="282" name="テキスト ボックス 281">
          <a:extLst>
            <a:ext uri="{FF2B5EF4-FFF2-40B4-BE49-F238E27FC236}">
              <a16:creationId xmlns:a16="http://schemas.microsoft.com/office/drawing/2014/main" id="{00000000-0008-0000-0A00-00001A010000}"/>
            </a:ext>
          </a:extLst>
        </xdr:cNvPr>
        <xdr:cNvSpPr txBox="1"/>
      </xdr:nvSpPr>
      <xdr:spPr>
        <a:xfrm>
          <a:off x="1440718" y="28199496"/>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5C86B84-1491-424D-8D4C-9652443D7C62}"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228113</xdr:colOff>
      <xdr:row>169</xdr:row>
      <xdr:rowOff>29308</xdr:rowOff>
    </xdr:from>
    <xdr:to>
      <xdr:col>3</xdr:col>
      <xdr:colOff>447188</xdr:colOff>
      <xdr:row>170</xdr:row>
      <xdr:rowOff>112103</xdr:rowOff>
    </xdr:to>
    <xdr:sp macro="" textlink="計算シート!I71">
      <xdr:nvSpPr>
        <xdr:cNvPr id="283" name="テキスト ボックス 282">
          <a:extLst>
            <a:ext uri="{FF2B5EF4-FFF2-40B4-BE49-F238E27FC236}">
              <a16:creationId xmlns:a16="http://schemas.microsoft.com/office/drawing/2014/main" id="{00000000-0008-0000-0A00-00001B010000}"/>
            </a:ext>
          </a:extLst>
        </xdr:cNvPr>
        <xdr:cNvSpPr txBox="1"/>
      </xdr:nvSpPr>
      <xdr:spPr>
        <a:xfrm>
          <a:off x="2299801" y="28199496"/>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22B7304-5C39-4785-B4CE-9B0DBC2C382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4</xdr:col>
      <xdr:colOff>169497</xdr:colOff>
      <xdr:row>169</xdr:row>
      <xdr:rowOff>29308</xdr:rowOff>
    </xdr:from>
    <xdr:to>
      <xdr:col>4</xdr:col>
      <xdr:colOff>388572</xdr:colOff>
      <xdr:row>170</xdr:row>
      <xdr:rowOff>112103</xdr:rowOff>
    </xdr:to>
    <xdr:sp macro="" textlink="計算シート!J71">
      <xdr:nvSpPr>
        <xdr:cNvPr id="284" name="テキスト ボックス 283">
          <a:extLst>
            <a:ext uri="{FF2B5EF4-FFF2-40B4-BE49-F238E27FC236}">
              <a16:creationId xmlns:a16="http://schemas.microsoft.com/office/drawing/2014/main" id="{00000000-0008-0000-0A00-00001C010000}"/>
            </a:ext>
          </a:extLst>
        </xdr:cNvPr>
        <xdr:cNvSpPr txBox="1"/>
      </xdr:nvSpPr>
      <xdr:spPr>
        <a:xfrm>
          <a:off x="2931747" y="28199496"/>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8CF4DA85-786F-4FAF-8227-F1032F1CA674}"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125535</xdr:colOff>
      <xdr:row>169</xdr:row>
      <xdr:rowOff>29308</xdr:rowOff>
    </xdr:from>
    <xdr:to>
      <xdr:col>5</xdr:col>
      <xdr:colOff>344610</xdr:colOff>
      <xdr:row>170</xdr:row>
      <xdr:rowOff>112103</xdr:rowOff>
    </xdr:to>
    <xdr:sp macro="" textlink="計算シート!K71">
      <xdr:nvSpPr>
        <xdr:cNvPr id="285" name="テキスト ボックス 284">
          <a:extLst>
            <a:ext uri="{FF2B5EF4-FFF2-40B4-BE49-F238E27FC236}">
              <a16:creationId xmlns:a16="http://schemas.microsoft.com/office/drawing/2014/main" id="{00000000-0008-0000-0A00-00001D010000}"/>
            </a:ext>
          </a:extLst>
        </xdr:cNvPr>
        <xdr:cNvSpPr txBox="1"/>
      </xdr:nvSpPr>
      <xdr:spPr>
        <a:xfrm>
          <a:off x="3578348" y="28199496"/>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7CE8D67B-5074-4AA0-B744-6FBDBD1FA633}"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6</xdr:col>
      <xdr:colOff>81574</xdr:colOff>
      <xdr:row>169</xdr:row>
      <xdr:rowOff>29308</xdr:rowOff>
    </xdr:from>
    <xdr:to>
      <xdr:col>6</xdr:col>
      <xdr:colOff>300649</xdr:colOff>
      <xdr:row>170</xdr:row>
      <xdr:rowOff>112103</xdr:rowOff>
    </xdr:to>
    <xdr:sp macro="" textlink="計算シート!L71">
      <xdr:nvSpPr>
        <xdr:cNvPr id="286" name="テキスト ボックス 285">
          <a:extLst>
            <a:ext uri="{FF2B5EF4-FFF2-40B4-BE49-F238E27FC236}">
              <a16:creationId xmlns:a16="http://schemas.microsoft.com/office/drawing/2014/main" id="{00000000-0008-0000-0A00-00001E010000}"/>
            </a:ext>
          </a:extLst>
        </xdr:cNvPr>
        <xdr:cNvSpPr txBox="1"/>
      </xdr:nvSpPr>
      <xdr:spPr>
        <a:xfrm>
          <a:off x="4224949" y="28199496"/>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9A3495B0-2654-48B5-9680-D7D644FE7B6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30286</xdr:colOff>
      <xdr:row>169</xdr:row>
      <xdr:rowOff>29308</xdr:rowOff>
    </xdr:from>
    <xdr:to>
      <xdr:col>7</xdr:col>
      <xdr:colOff>249361</xdr:colOff>
      <xdr:row>170</xdr:row>
      <xdr:rowOff>112103</xdr:rowOff>
    </xdr:to>
    <xdr:sp macro="" textlink="計算シート!H72">
      <xdr:nvSpPr>
        <xdr:cNvPr id="287" name="テキスト ボックス 286">
          <a:extLst>
            <a:ext uri="{FF2B5EF4-FFF2-40B4-BE49-F238E27FC236}">
              <a16:creationId xmlns:a16="http://schemas.microsoft.com/office/drawing/2014/main" id="{00000000-0008-0000-0A00-00001F010000}"/>
            </a:ext>
          </a:extLst>
        </xdr:cNvPr>
        <xdr:cNvSpPr txBox="1"/>
      </xdr:nvSpPr>
      <xdr:spPr>
        <a:xfrm>
          <a:off x="4864224" y="28199496"/>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4B18E4C-5198-432A-9D2F-410C70ACDC6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675055</xdr:colOff>
      <xdr:row>169</xdr:row>
      <xdr:rowOff>29308</xdr:rowOff>
    </xdr:from>
    <xdr:to>
      <xdr:col>8</xdr:col>
      <xdr:colOff>205399</xdr:colOff>
      <xdr:row>170</xdr:row>
      <xdr:rowOff>112103</xdr:rowOff>
    </xdr:to>
    <xdr:sp macro="" textlink="計算シート!I72">
      <xdr:nvSpPr>
        <xdr:cNvPr id="288" name="テキスト ボックス 287">
          <a:extLst>
            <a:ext uri="{FF2B5EF4-FFF2-40B4-BE49-F238E27FC236}">
              <a16:creationId xmlns:a16="http://schemas.microsoft.com/office/drawing/2014/main" id="{00000000-0008-0000-0A00-000020010000}"/>
            </a:ext>
          </a:extLst>
        </xdr:cNvPr>
        <xdr:cNvSpPr txBox="1"/>
      </xdr:nvSpPr>
      <xdr:spPr>
        <a:xfrm>
          <a:off x="5508993" y="28199496"/>
          <a:ext cx="220906"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7928658-C346-4176-A811-9E65B19BD30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578046</xdr:colOff>
      <xdr:row>169</xdr:row>
      <xdr:rowOff>29308</xdr:rowOff>
    </xdr:from>
    <xdr:to>
      <xdr:col>9</xdr:col>
      <xdr:colOff>123630</xdr:colOff>
      <xdr:row>170</xdr:row>
      <xdr:rowOff>112103</xdr:rowOff>
    </xdr:to>
    <xdr:sp macro="" textlink="計算シート!J72">
      <xdr:nvSpPr>
        <xdr:cNvPr id="289" name="テキスト ボックス 288">
          <a:extLst>
            <a:ext uri="{FF2B5EF4-FFF2-40B4-BE49-F238E27FC236}">
              <a16:creationId xmlns:a16="http://schemas.microsoft.com/office/drawing/2014/main" id="{00000000-0008-0000-0A00-000021010000}"/>
            </a:ext>
          </a:extLst>
        </xdr:cNvPr>
        <xdr:cNvSpPr txBox="1"/>
      </xdr:nvSpPr>
      <xdr:spPr>
        <a:xfrm>
          <a:off x="5454846" y="28360468"/>
          <a:ext cx="155184" cy="250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B2F984D5-A4E7-4D7E-BB7B-8A884FA5E92E}"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9</xdr:col>
      <xdr:colOff>549618</xdr:colOff>
      <xdr:row>169</xdr:row>
      <xdr:rowOff>29308</xdr:rowOff>
    </xdr:from>
    <xdr:to>
      <xdr:col>10</xdr:col>
      <xdr:colOff>79962</xdr:colOff>
      <xdr:row>170</xdr:row>
      <xdr:rowOff>112103</xdr:rowOff>
    </xdr:to>
    <xdr:sp macro="" textlink="計算シート!K72">
      <xdr:nvSpPr>
        <xdr:cNvPr id="290" name="テキスト ボックス 289">
          <a:extLst>
            <a:ext uri="{FF2B5EF4-FFF2-40B4-BE49-F238E27FC236}">
              <a16:creationId xmlns:a16="http://schemas.microsoft.com/office/drawing/2014/main" id="{00000000-0008-0000-0A00-000022010000}"/>
            </a:ext>
          </a:extLst>
        </xdr:cNvPr>
        <xdr:cNvSpPr txBox="1"/>
      </xdr:nvSpPr>
      <xdr:spPr>
        <a:xfrm>
          <a:off x="6036018" y="28360468"/>
          <a:ext cx="139944" cy="250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FE4F0822-2CAF-4BBD-9DB8-1BC7D831686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2</xdr:col>
      <xdr:colOff>58617</xdr:colOff>
      <xdr:row>171</xdr:row>
      <xdr:rowOff>123827</xdr:rowOff>
    </xdr:from>
    <xdr:to>
      <xdr:col>2</xdr:col>
      <xdr:colOff>277692</xdr:colOff>
      <xdr:row>173</xdr:row>
      <xdr:rowOff>38103</xdr:rowOff>
    </xdr:to>
    <xdr:sp macro="" textlink="計算シート!H73">
      <xdr:nvSpPr>
        <xdr:cNvPr id="291" name="テキスト ボックス 290">
          <a:extLst>
            <a:ext uri="{FF2B5EF4-FFF2-40B4-BE49-F238E27FC236}">
              <a16:creationId xmlns:a16="http://schemas.microsoft.com/office/drawing/2014/main" id="{00000000-0008-0000-0A00-000023010000}"/>
            </a:ext>
          </a:extLst>
        </xdr:cNvPr>
        <xdr:cNvSpPr txBox="1"/>
      </xdr:nvSpPr>
      <xdr:spPr>
        <a:xfrm>
          <a:off x="1439742" y="28627390"/>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BCE8DC8-F2BF-4AE4-B034-55374972483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227137</xdr:colOff>
      <xdr:row>171</xdr:row>
      <xdr:rowOff>123827</xdr:rowOff>
    </xdr:from>
    <xdr:to>
      <xdr:col>3</xdr:col>
      <xdr:colOff>446212</xdr:colOff>
      <xdr:row>173</xdr:row>
      <xdr:rowOff>38103</xdr:rowOff>
    </xdr:to>
    <xdr:sp macro="" textlink="計算シート!I73">
      <xdr:nvSpPr>
        <xdr:cNvPr id="292" name="テキスト ボックス 291">
          <a:extLst>
            <a:ext uri="{FF2B5EF4-FFF2-40B4-BE49-F238E27FC236}">
              <a16:creationId xmlns:a16="http://schemas.microsoft.com/office/drawing/2014/main" id="{00000000-0008-0000-0A00-000024010000}"/>
            </a:ext>
          </a:extLst>
        </xdr:cNvPr>
        <xdr:cNvSpPr txBox="1"/>
      </xdr:nvSpPr>
      <xdr:spPr>
        <a:xfrm>
          <a:off x="2298825" y="28627390"/>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CDFC51F0-79D5-493B-9988-50DBE4297F69}" type="TxLink">
            <a:rPr kumimoji="1" lang="ja-JP"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4</xdr:col>
      <xdr:colOff>168521</xdr:colOff>
      <xdr:row>171</xdr:row>
      <xdr:rowOff>123827</xdr:rowOff>
    </xdr:from>
    <xdr:to>
      <xdr:col>4</xdr:col>
      <xdr:colOff>387596</xdr:colOff>
      <xdr:row>173</xdr:row>
      <xdr:rowOff>38103</xdr:rowOff>
    </xdr:to>
    <xdr:sp macro="" textlink="計算シート!J73">
      <xdr:nvSpPr>
        <xdr:cNvPr id="293" name="テキスト ボックス 292">
          <a:extLst>
            <a:ext uri="{FF2B5EF4-FFF2-40B4-BE49-F238E27FC236}">
              <a16:creationId xmlns:a16="http://schemas.microsoft.com/office/drawing/2014/main" id="{00000000-0008-0000-0A00-000025010000}"/>
            </a:ext>
          </a:extLst>
        </xdr:cNvPr>
        <xdr:cNvSpPr txBox="1"/>
      </xdr:nvSpPr>
      <xdr:spPr>
        <a:xfrm>
          <a:off x="2930771" y="28627390"/>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53C20C8D-5B35-45AB-9133-C8A3A3E1E478}"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5</xdr:col>
      <xdr:colOff>124559</xdr:colOff>
      <xdr:row>171</xdr:row>
      <xdr:rowOff>123827</xdr:rowOff>
    </xdr:from>
    <xdr:to>
      <xdr:col>5</xdr:col>
      <xdr:colOff>343634</xdr:colOff>
      <xdr:row>173</xdr:row>
      <xdr:rowOff>38103</xdr:rowOff>
    </xdr:to>
    <xdr:sp macro="" textlink="計算シート!K73">
      <xdr:nvSpPr>
        <xdr:cNvPr id="294" name="テキスト ボックス 293">
          <a:extLst>
            <a:ext uri="{FF2B5EF4-FFF2-40B4-BE49-F238E27FC236}">
              <a16:creationId xmlns:a16="http://schemas.microsoft.com/office/drawing/2014/main" id="{00000000-0008-0000-0A00-000026010000}"/>
            </a:ext>
          </a:extLst>
        </xdr:cNvPr>
        <xdr:cNvSpPr txBox="1"/>
      </xdr:nvSpPr>
      <xdr:spPr>
        <a:xfrm>
          <a:off x="3577372" y="28627390"/>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9962903-30FD-49A3-9DCB-8DAF72FDC3C2}"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6</xdr:col>
      <xdr:colOff>80598</xdr:colOff>
      <xdr:row>171</xdr:row>
      <xdr:rowOff>123827</xdr:rowOff>
    </xdr:from>
    <xdr:to>
      <xdr:col>6</xdr:col>
      <xdr:colOff>299673</xdr:colOff>
      <xdr:row>173</xdr:row>
      <xdr:rowOff>38103</xdr:rowOff>
    </xdr:to>
    <xdr:sp macro="" textlink="計算シート!L73">
      <xdr:nvSpPr>
        <xdr:cNvPr id="295" name="テキスト ボックス 294">
          <a:extLst>
            <a:ext uri="{FF2B5EF4-FFF2-40B4-BE49-F238E27FC236}">
              <a16:creationId xmlns:a16="http://schemas.microsoft.com/office/drawing/2014/main" id="{00000000-0008-0000-0A00-000027010000}"/>
            </a:ext>
          </a:extLst>
        </xdr:cNvPr>
        <xdr:cNvSpPr txBox="1"/>
      </xdr:nvSpPr>
      <xdr:spPr>
        <a:xfrm>
          <a:off x="4223973" y="28627390"/>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331A2FB-9C5B-40FF-B21B-C5FB3FA60286}"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29310</xdr:colOff>
      <xdr:row>171</xdr:row>
      <xdr:rowOff>123827</xdr:rowOff>
    </xdr:from>
    <xdr:to>
      <xdr:col>7</xdr:col>
      <xdr:colOff>248385</xdr:colOff>
      <xdr:row>173</xdr:row>
      <xdr:rowOff>38103</xdr:rowOff>
    </xdr:to>
    <xdr:sp macro="" textlink="計算シート!H74">
      <xdr:nvSpPr>
        <xdr:cNvPr id="296" name="テキスト ボックス 295">
          <a:extLst>
            <a:ext uri="{FF2B5EF4-FFF2-40B4-BE49-F238E27FC236}">
              <a16:creationId xmlns:a16="http://schemas.microsoft.com/office/drawing/2014/main" id="{00000000-0008-0000-0A00-000028010000}"/>
            </a:ext>
          </a:extLst>
        </xdr:cNvPr>
        <xdr:cNvSpPr txBox="1"/>
      </xdr:nvSpPr>
      <xdr:spPr>
        <a:xfrm>
          <a:off x="4863248" y="28627390"/>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0D315345-8D97-4CB9-B02E-67FDF43D3AB3}"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7</xdr:col>
      <xdr:colOff>674079</xdr:colOff>
      <xdr:row>171</xdr:row>
      <xdr:rowOff>123827</xdr:rowOff>
    </xdr:from>
    <xdr:to>
      <xdr:col>8</xdr:col>
      <xdr:colOff>204423</xdr:colOff>
      <xdr:row>173</xdr:row>
      <xdr:rowOff>38103</xdr:rowOff>
    </xdr:to>
    <xdr:sp macro="" textlink="計算シート!I74">
      <xdr:nvSpPr>
        <xdr:cNvPr id="297" name="テキスト ボックス 296">
          <a:extLst>
            <a:ext uri="{FF2B5EF4-FFF2-40B4-BE49-F238E27FC236}">
              <a16:creationId xmlns:a16="http://schemas.microsoft.com/office/drawing/2014/main" id="{00000000-0008-0000-0A00-000029010000}"/>
            </a:ext>
          </a:extLst>
        </xdr:cNvPr>
        <xdr:cNvSpPr txBox="1"/>
      </xdr:nvSpPr>
      <xdr:spPr>
        <a:xfrm>
          <a:off x="5508017" y="28627390"/>
          <a:ext cx="220906"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EB85BB05-8341-471F-A099-A86B81BAA04D}"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8</xdr:col>
      <xdr:colOff>584690</xdr:colOff>
      <xdr:row>171</xdr:row>
      <xdr:rowOff>123827</xdr:rowOff>
    </xdr:from>
    <xdr:to>
      <xdr:col>9</xdr:col>
      <xdr:colOff>130274</xdr:colOff>
      <xdr:row>173</xdr:row>
      <xdr:rowOff>38103</xdr:rowOff>
    </xdr:to>
    <xdr:sp macro="" textlink="計算シート!J74">
      <xdr:nvSpPr>
        <xdr:cNvPr id="298" name="テキスト ボックス 297">
          <a:extLst>
            <a:ext uri="{FF2B5EF4-FFF2-40B4-BE49-F238E27FC236}">
              <a16:creationId xmlns:a16="http://schemas.microsoft.com/office/drawing/2014/main" id="{00000000-0008-0000-0A00-00002A010000}"/>
            </a:ext>
          </a:extLst>
        </xdr:cNvPr>
        <xdr:cNvSpPr txBox="1"/>
      </xdr:nvSpPr>
      <xdr:spPr>
        <a:xfrm>
          <a:off x="5461490" y="28790267"/>
          <a:ext cx="155184" cy="249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17BB6275-7E21-4F65-90DF-5BE1342A2A69}" type="TxLink">
            <a:rPr kumimoji="1" lang="en-US" altLang="en-US" sz="1100" b="0" i="0" u="none" strike="noStrike">
              <a:solidFill>
                <a:srgbClr val="000000"/>
              </a:solidFill>
              <a:latin typeface="ＭＳ Ｐゴシック"/>
              <a:ea typeface="ＭＳ Ｐゴシック"/>
            </a:rPr>
            <a:pPr algn="ctr"/>
            <a:t> </a:t>
          </a:fld>
          <a:endParaRPr kumimoji="1" lang="ja-JP" altLang="en-US" sz="1050">
            <a:latin typeface="OCRB" panose="020B0609020202020204" pitchFamily="49" charset="0"/>
          </a:endParaRPr>
        </a:p>
      </xdr:txBody>
    </xdr:sp>
    <xdr:clientData/>
  </xdr:twoCellAnchor>
  <xdr:twoCellAnchor>
    <xdr:from>
      <xdr:col>3</xdr:col>
      <xdr:colOff>622791</xdr:colOff>
      <xdr:row>174</xdr:row>
      <xdr:rowOff>94519</xdr:rowOff>
    </xdr:from>
    <xdr:to>
      <xdr:col>4</xdr:col>
      <xdr:colOff>153135</xdr:colOff>
      <xdr:row>176</xdr:row>
      <xdr:rowOff>8795</xdr:rowOff>
    </xdr:to>
    <xdr:sp macro="" textlink="">
      <xdr:nvSpPr>
        <xdr:cNvPr id="299" name="テキスト ボックス 298">
          <a:extLst>
            <a:ext uri="{FF2B5EF4-FFF2-40B4-BE49-F238E27FC236}">
              <a16:creationId xmlns:a16="http://schemas.microsoft.com/office/drawing/2014/main" id="{00000000-0008-0000-0A00-00002B010000}"/>
            </a:ext>
          </a:extLst>
        </xdr:cNvPr>
        <xdr:cNvSpPr txBox="1"/>
      </xdr:nvSpPr>
      <xdr:spPr>
        <a:xfrm>
          <a:off x="2694479" y="29098144"/>
          <a:ext cx="220906"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6</xdr:col>
      <xdr:colOff>43963</xdr:colOff>
      <xdr:row>174</xdr:row>
      <xdr:rowOff>87192</xdr:rowOff>
    </xdr:from>
    <xdr:to>
      <xdr:col>6</xdr:col>
      <xdr:colOff>263038</xdr:colOff>
      <xdr:row>176</xdr:row>
      <xdr:rowOff>1468</xdr:rowOff>
    </xdr:to>
    <xdr:sp macro="" textlink="">
      <xdr:nvSpPr>
        <xdr:cNvPr id="300" name="テキスト ボックス 299">
          <a:extLst>
            <a:ext uri="{FF2B5EF4-FFF2-40B4-BE49-F238E27FC236}">
              <a16:creationId xmlns:a16="http://schemas.microsoft.com/office/drawing/2014/main" id="{00000000-0008-0000-0A00-00002C010000}"/>
            </a:ext>
          </a:extLst>
        </xdr:cNvPr>
        <xdr:cNvSpPr txBox="1"/>
      </xdr:nvSpPr>
      <xdr:spPr>
        <a:xfrm>
          <a:off x="4187338" y="29090817"/>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2</xdr:col>
      <xdr:colOff>29310</xdr:colOff>
      <xdr:row>176</xdr:row>
      <xdr:rowOff>109174</xdr:rowOff>
    </xdr:from>
    <xdr:to>
      <xdr:col>2</xdr:col>
      <xdr:colOff>248385</xdr:colOff>
      <xdr:row>178</xdr:row>
      <xdr:rowOff>23449</xdr:rowOff>
    </xdr:to>
    <xdr:sp macro="" textlink="">
      <xdr:nvSpPr>
        <xdr:cNvPr id="301" name="テキスト ボックス 300">
          <a:extLst>
            <a:ext uri="{FF2B5EF4-FFF2-40B4-BE49-F238E27FC236}">
              <a16:creationId xmlns:a16="http://schemas.microsoft.com/office/drawing/2014/main" id="{00000000-0008-0000-0A00-00002D010000}"/>
            </a:ext>
          </a:extLst>
        </xdr:cNvPr>
        <xdr:cNvSpPr txBox="1"/>
      </xdr:nvSpPr>
      <xdr:spPr>
        <a:xfrm>
          <a:off x="1410435" y="29446174"/>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3</xdr:col>
      <xdr:colOff>615465</xdr:colOff>
      <xdr:row>176</xdr:row>
      <xdr:rowOff>109174</xdr:rowOff>
    </xdr:from>
    <xdr:to>
      <xdr:col>4</xdr:col>
      <xdr:colOff>145809</xdr:colOff>
      <xdr:row>178</xdr:row>
      <xdr:rowOff>23449</xdr:rowOff>
    </xdr:to>
    <xdr:sp macro="" textlink="">
      <xdr:nvSpPr>
        <xdr:cNvPr id="302" name="テキスト ボックス 301">
          <a:extLst>
            <a:ext uri="{FF2B5EF4-FFF2-40B4-BE49-F238E27FC236}">
              <a16:creationId xmlns:a16="http://schemas.microsoft.com/office/drawing/2014/main" id="{00000000-0008-0000-0A00-00002E010000}"/>
            </a:ext>
          </a:extLst>
        </xdr:cNvPr>
        <xdr:cNvSpPr txBox="1"/>
      </xdr:nvSpPr>
      <xdr:spPr>
        <a:xfrm>
          <a:off x="2687153" y="29446174"/>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2</xdr:col>
      <xdr:colOff>29311</xdr:colOff>
      <xdr:row>178</xdr:row>
      <xdr:rowOff>123827</xdr:rowOff>
    </xdr:from>
    <xdr:to>
      <xdr:col>2</xdr:col>
      <xdr:colOff>248386</xdr:colOff>
      <xdr:row>180</xdr:row>
      <xdr:rowOff>38103</xdr:rowOff>
    </xdr:to>
    <xdr:sp macro="" textlink="">
      <xdr:nvSpPr>
        <xdr:cNvPr id="303" name="テキスト ボックス 302">
          <a:extLst>
            <a:ext uri="{FF2B5EF4-FFF2-40B4-BE49-F238E27FC236}">
              <a16:creationId xmlns:a16="http://schemas.microsoft.com/office/drawing/2014/main" id="{00000000-0008-0000-0A00-00002F010000}"/>
            </a:ext>
          </a:extLst>
        </xdr:cNvPr>
        <xdr:cNvSpPr txBox="1"/>
      </xdr:nvSpPr>
      <xdr:spPr>
        <a:xfrm>
          <a:off x="1410436" y="29794202"/>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3</xdr:col>
      <xdr:colOff>622792</xdr:colOff>
      <xdr:row>178</xdr:row>
      <xdr:rowOff>123827</xdr:rowOff>
    </xdr:from>
    <xdr:to>
      <xdr:col>4</xdr:col>
      <xdr:colOff>153136</xdr:colOff>
      <xdr:row>180</xdr:row>
      <xdr:rowOff>38103</xdr:rowOff>
    </xdr:to>
    <xdr:sp macro="" textlink="">
      <xdr:nvSpPr>
        <xdr:cNvPr id="304" name="テキスト ボックス 303">
          <a:extLst>
            <a:ext uri="{FF2B5EF4-FFF2-40B4-BE49-F238E27FC236}">
              <a16:creationId xmlns:a16="http://schemas.microsoft.com/office/drawing/2014/main" id="{00000000-0008-0000-0A00-000030010000}"/>
            </a:ext>
          </a:extLst>
        </xdr:cNvPr>
        <xdr:cNvSpPr txBox="1"/>
      </xdr:nvSpPr>
      <xdr:spPr>
        <a:xfrm>
          <a:off x="2694480" y="29794202"/>
          <a:ext cx="220906"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6</xdr:col>
      <xdr:colOff>43965</xdr:colOff>
      <xdr:row>178</xdr:row>
      <xdr:rowOff>123827</xdr:rowOff>
    </xdr:from>
    <xdr:to>
      <xdr:col>6</xdr:col>
      <xdr:colOff>263040</xdr:colOff>
      <xdr:row>180</xdr:row>
      <xdr:rowOff>38103</xdr:rowOff>
    </xdr:to>
    <xdr:sp macro="" textlink="">
      <xdr:nvSpPr>
        <xdr:cNvPr id="305" name="テキスト ボックス 304">
          <a:extLst>
            <a:ext uri="{FF2B5EF4-FFF2-40B4-BE49-F238E27FC236}">
              <a16:creationId xmlns:a16="http://schemas.microsoft.com/office/drawing/2014/main" id="{00000000-0008-0000-0A00-000031010000}"/>
            </a:ext>
          </a:extLst>
        </xdr:cNvPr>
        <xdr:cNvSpPr txBox="1"/>
      </xdr:nvSpPr>
      <xdr:spPr>
        <a:xfrm>
          <a:off x="4187340" y="29794202"/>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8</xdr:col>
      <xdr:colOff>161197</xdr:colOff>
      <xdr:row>178</xdr:row>
      <xdr:rowOff>123827</xdr:rowOff>
    </xdr:from>
    <xdr:to>
      <xdr:col>8</xdr:col>
      <xdr:colOff>380272</xdr:colOff>
      <xdr:row>180</xdr:row>
      <xdr:rowOff>38103</xdr:rowOff>
    </xdr:to>
    <xdr:sp macro="" textlink="">
      <xdr:nvSpPr>
        <xdr:cNvPr id="306" name="テキスト ボックス 305">
          <a:extLst>
            <a:ext uri="{FF2B5EF4-FFF2-40B4-BE49-F238E27FC236}">
              <a16:creationId xmlns:a16="http://schemas.microsoft.com/office/drawing/2014/main" id="{00000000-0008-0000-0A00-000032010000}"/>
            </a:ext>
          </a:extLst>
        </xdr:cNvPr>
        <xdr:cNvSpPr txBox="1"/>
      </xdr:nvSpPr>
      <xdr:spPr>
        <a:xfrm>
          <a:off x="5685697" y="29794202"/>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8</xdr:col>
      <xdr:colOff>161197</xdr:colOff>
      <xdr:row>180</xdr:row>
      <xdr:rowOff>138482</xdr:rowOff>
    </xdr:from>
    <xdr:to>
      <xdr:col>8</xdr:col>
      <xdr:colOff>380272</xdr:colOff>
      <xdr:row>182</xdr:row>
      <xdr:rowOff>52757</xdr:rowOff>
    </xdr:to>
    <xdr:sp macro="" textlink="">
      <xdr:nvSpPr>
        <xdr:cNvPr id="307" name="テキスト ボックス 306">
          <a:extLst>
            <a:ext uri="{FF2B5EF4-FFF2-40B4-BE49-F238E27FC236}">
              <a16:creationId xmlns:a16="http://schemas.microsoft.com/office/drawing/2014/main" id="{00000000-0008-0000-0A00-000033010000}"/>
            </a:ext>
          </a:extLst>
        </xdr:cNvPr>
        <xdr:cNvSpPr txBox="1"/>
      </xdr:nvSpPr>
      <xdr:spPr>
        <a:xfrm>
          <a:off x="5685697" y="30142232"/>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6</xdr:col>
      <xdr:colOff>43966</xdr:colOff>
      <xdr:row>180</xdr:row>
      <xdr:rowOff>138482</xdr:rowOff>
    </xdr:from>
    <xdr:to>
      <xdr:col>6</xdr:col>
      <xdr:colOff>263041</xdr:colOff>
      <xdr:row>182</xdr:row>
      <xdr:rowOff>52757</xdr:rowOff>
    </xdr:to>
    <xdr:sp macro="" textlink="">
      <xdr:nvSpPr>
        <xdr:cNvPr id="308" name="テキスト ボックス 307">
          <a:extLst>
            <a:ext uri="{FF2B5EF4-FFF2-40B4-BE49-F238E27FC236}">
              <a16:creationId xmlns:a16="http://schemas.microsoft.com/office/drawing/2014/main" id="{00000000-0008-0000-0A00-000034010000}"/>
            </a:ext>
          </a:extLst>
        </xdr:cNvPr>
        <xdr:cNvSpPr txBox="1"/>
      </xdr:nvSpPr>
      <xdr:spPr>
        <a:xfrm>
          <a:off x="4187341" y="30142232"/>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3</xdr:col>
      <xdr:colOff>622793</xdr:colOff>
      <xdr:row>180</xdr:row>
      <xdr:rowOff>138482</xdr:rowOff>
    </xdr:from>
    <xdr:to>
      <xdr:col>4</xdr:col>
      <xdr:colOff>153137</xdr:colOff>
      <xdr:row>182</xdr:row>
      <xdr:rowOff>52757</xdr:rowOff>
    </xdr:to>
    <xdr:sp macro="" textlink="">
      <xdr:nvSpPr>
        <xdr:cNvPr id="309" name="テキスト ボックス 308">
          <a:extLst>
            <a:ext uri="{FF2B5EF4-FFF2-40B4-BE49-F238E27FC236}">
              <a16:creationId xmlns:a16="http://schemas.microsoft.com/office/drawing/2014/main" id="{00000000-0008-0000-0A00-000035010000}"/>
            </a:ext>
          </a:extLst>
        </xdr:cNvPr>
        <xdr:cNvSpPr txBox="1"/>
      </xdr:nvSpPr>
      <xdr:spPr>
        <a:xfrm>
          <a:off x="2694481" y="30142232"/>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2</xdr:col>
      <xdr:colOff>21984</xdr:colOff>
      <xdr:row>180</xdr:row>
      <xdr:rowOff>145809</xdr:rowOff>
    </xdr:from>
    <xdr:to>
      <xdr:col>2</xdr:col>
      <xdr:colOff>241059</xdr:colOff>
      <xdr:row>182</xdr:row>
      <xdr:rowOff>60084</xdr:rowOff>
    </xdr:to>
    <xdr:sp macro="" textlink="">
      <xdr:nvSpPr>
        <xdr:cNvPr id="310" name="テキスト ボックス 309">
          <a:extLst>
            <a:ext uri="{FF2B5EF4-FFF2-40B4-BE49-F238E27FC236}">
              <a16:creationId xmlns:a16="http://schemas.microsoft.com/office/drawing/2014/main" id="{00000000-0008-0000-0A00-000036010000}"/>
            </a:ext>
          </a:extLst>
        </xdr:cNvPr>
        <xdr:cNvSpPr txBox="1"/>
      </xdr:nvSpPr>
      <xdr:spPr>
        <a:xfrm>
          <a:off x="1403109" y="30149559"/>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2</xdr:col>
      <xdr:colOff>29311</xdr:colOff>
      <xdr:row>183</xdr:row>
      <xdr:rowOff>1101</xdr:rowOff>
    </xdr:from>
    <xdr:to>
      <xdr:col>2</xdr:col>
      <xdr:colOff>248386</xdr:colOff>
      <xdr:row>184</xdr:row>
      <xdr:rowOff>82065</xdr:rowOff>
    </xdr:to>
    <xdr:sp macro="" textlink="">
      <xdr:nvSpPr>
        <xdr:cNvPr id="311" name="テキスト ボックス 310">
          <a:extLst>
            <a:ext uri="{FF2B5EF4-FFF2-40B4-BE49-F238E27FC236}">
              <a16:creationId xmlns:a16="http://schemas.microsoft.com/office/drawing/2014/main" id="{00000000-0008-0000-0A00-000037010000}"/>
            </a:ext>
          </a:extLst>
        </xdr:cNvPr>
        <xdr:cNvSpPr txBox="1"/>
      </xdr:nvSpPr>
      <xdr:spPr>
        <a:xfrm>
          <a:off x="1410436" y="30504914"/>
          <a:ext cx="219075" cy="247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6</xdr:col>
      <xdr:colOff>43965</xdr:colOff>
      <xdr:row>183</xdr:row>
      <xdr:rowOff>6597</xdr:rowOff>
    </xdr:from>
    <xdr:to>
      <xdr:col>6</xdr:col>
      <xdr:colOff>263040</xdr:colOff>
      <xdr:row>184</xdr:row>
      <xdr:rowOff>89392</xdr:rowOff>
    </xdr:to>
    <xdr:sp macro="" textlink="">
      <xdr:nvSpPr>
        <xdr:cNvPr id="312" name="テキスト ボックス 311">
          <a:extLst>
            <a:ext uri="{FF2B5EF4-FFF2-40B4-BE49-F238E27FC236}">
              <a16:creationId xmlns:a16="http://schemas.microsoft.com/office/drawing/2014/main" id="{00000000-0008-0000-0A00-000038010000}"/>
            </a:ext>
          </a:extLst>
        </xdr:cNvPr>
        <xdr:cNvSpPr txBox="1"/>
      </xdr:nvSpPr>
      <xdr:spPr>
        <a:xfrm>
          <a:off x="4187340" y="30510410"/>
          <a:ext cx="219075" cy="249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1</xdr:col>
      <xdr:colOff>622792</xdr:colOff>
      <xdr:row>187</xdr:row>
      <xdr:rowOff>1103</xdr:rowOff>
    </xdr:from>
    <xdr:to>
      <xdr:col>2</xdr:col>
      <xdr:colOff>153136</xdr:colOff>
      <xdr:row>188</xdr:row>
      <xdr:rowOff>82066</xdr:rowOff>
    </xdr:to>
    <xdr:sp macro="" textlink="">
      <xdr:nvSpPr>
        <xdr:cNvPr id="313" name="テキスト ボックス 312">
          <a:extLst>
            <a:ext uri="{FF2B5EF4-FFF2-40B4-BE49-F238E27FC236}">
              <a16:creationId xmlns:a16="http://schemas.microsoft.com/office/drawing/2014/main" id="{00000000-0008-0000-0A00-000039010000}"/>
            </a:ext>
          </a:extLst>
        </xdr:cNvPr>
        <xdr:cNvSpPr txBox="1"/>
      </xdr:nvSpPr>
      <xdr:spPr>
        <a:xfrm>
          <a:off x="1313355" y="31171666"/>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3</xdr:col>
      <xdr:colOff>95254</xdr:colOff>
      <xdr:row>187</xdr:row>
      <xdr:rowOff>1103</xdr:rowOff>
    </xdr:from>
    <xdr:to>
      <xdr:col>3</xdr:col>
      <xdr:colOff>314329</xdr:colOff>
      <xdr:row>188</xdr:row>
      <xdr:rowOff>82066</xdr:rowOff>
    </xdr:to>
    <xdr:sp macro="" textlink="">
      <xdr:nvSpPr>
        <xdr:cNvPr id="314" name="テキスト ボックス 313">
          <a:extLst>
            <a:ext uri="{FF2B5EF4-FFF2-40B4-BE49-F238E27FC236}">
              <a16:creationId xmlns:a16="http://schemas.microsoft.com/office/drawing/2014/main" id="{00000000-0008-0000-0A00-00003A010000}"/>
            </a:ext>
          </a:extLst>
        </xdr:cNvPr>
        <xdr:cNvSpPr txBox="1"/>
      </xdr:nvSpPr>
      <xdr:spPr>
        <a:xfrm>
          <a:off x="2166942" y="31171666"/>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4</xdr:col>
      <xdr:colOff>43965</xdr:colOff>
      <xdr:row>187</xdr:row>
      <xdr:rowOff>1103</xdr:rowOff>
    </xdr:from>
    <xdr:to>
      <xdr:col>4</xdr:col>
      <xdr:colOff>263040</xdr:colOff>
      <xdr:row>188</xdr:row>
      <xdr:rowOff>82066</xdr:rowOff>
    </xdr:to>
    <xdr:sp macro="" textlink="">
      <xdr:nvSpPr>
        <xdr:cNvPr id="315" name="テキスト ボックス 314">
          <a:extLst>
            <a:ext uri="{FF2B5EF4-FFF2-40B4-BE49-F238E27FC236}">
              <a16:creationId xmlns:a16="http://schemas.microsoft.com/office/drawing/2014/main" id="{00000000-0008-0000-0A00-00003B010000}"/>
            </a:ext>
          </a:extLst>
        </xdr:cNvPr>
        <xdr:cNvSpPr txBox="1"/>
      </xdr:nvSpPr>
      <xdr:spPr>
        <a:xfrm>
          <a:off x="2806215" y="31171666"/>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4</xdr:col>
      <xdr:colOff>681408</xdr:colOff>
      <xdr:row>187</xdr:row>
      <xdr:rowOff>1103</xdr:rowOff>
    </xdr:from>
    <xdr:to>
      <xdr:col>5</xdr:col>
      <xdr:colOff>211752</xdr:colOff>
      <xdr:row>188</xdr:row>
      <xdr:rowOff>82066</xdr:rowOff>
    </xdr:to>
    <xdr:sp macro="" textlink="">
      <xdr:nvSpPr>
        <xdr:cNvPr id="316" name="テキスト ボックス 315">
          <a:extLst>
            <a:ext uri="{FF2B5EF4-FFF2-40B4-BE49-F238E27FC236}">
              <a16:creationId xmlns:a16="http://schemas.microsoft.com/office/drawing/2014/main" id="{00000000-0008-0000-0A00-00003C010000}"/>
            </a:ext>
          </a:extLst>
        </xdr:cNvPr>
        <xdr:cNvSpPr txBox="1"/>
      </xdr:nvSpPr>
      <xdr:spPr>
        <a:xfrm>
          <a:off x="3443658" y="31171666"/>
          <a:ext cx="220907"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5</xdr:col>
      <xdr:colOff>622792</xdr:colOff>
      <xdr:row>187</xdr:row>
      <xdr:rowOff>1103</xdr:rowOff>
    </xdr:from>
    <xdr:to>
      <xdr:col>6</xdr:col>
      <xdr:colOff>153136</xdr:colOff>
      <xdr:row>188</xdr:row>
      <xdr:rowOff>82066</xdr:rowOff>
    </xdr:to>
    <xdr:sp macro="" textlink="">
      <xdr:nvSpPr>
        <xdr:cNvPr id="317" name="テキスト ボックス 316">
          <a:extLst>
            <a:ext uri="{FF2B5EF4-FFF2-40B4-BE49-F238E27FC236}">
              <a16:creationId xmlns:a16="http://schemas.microsoft.com/office/drawing/2014/main" id="{00000000-0008-0000-0A00-00003D010000}"/>
            </a:ext>
          </a:extLst>
        </xdr:cNvPr>
        <xdr:cNvSpPr txBox="1"/>
      </xdr:nvSpPr>
      <xdr:spPr>
        <a:xfrm>
          <a:off x="4075605" y="31171666"/>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6</xdr:col>
      <xdr:colOff>593484</xdr:colOff>
      <xdr:row>187</xdr:row>
      <xdr:rowOff>1103</xdr:rowOff>
    </xdr:from>
    <xdr:to>
      <xdr:col>7</xdr:col>
      <xdr:colOff>123829</xdr:colOff>
      <xdr:row>188</xdr:row>
      <xdr:rowOff>82066</xdr:rowOff>
    </xdr:to>
    <xdr:sp macro="" textlink="">
      <xdr:nvSpPr>
        <xdr:cNvPr id="318" name="テキスト ボックス 317">
          <a:extLst>
            <a:ext uri="{FF2B5EF4-FFF2-40B4-BE49-F238E27FC236}">
              <a16:creationId xmlns:a16="http://schemas.microsoft.com/office/drawing/2014/main" id="{00000000-0008-0000-0A00-00003E010000}"/>
            </a:ext>
          </a:extLst>
        </xdr:cNvPr>
        <xdr:cNvSpPr txBox="1"/>
      </xdr:nvSpPr>
      <xdr:spPr>
        <a:xfrm>
          <a:off x="4736859" y="31171666"/>
          <a:ext cx="22090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7</xdr:col>
      <xdr:colOff>534870</xdr:colOff>
      <xdr:row>187</xdr:row>
      <xdr:rowOff>1103</xdr:rowOff>
    </xdr:from>
    <xdr:to>
      <xdr:col>8</xdr:col>
      <xdr:colOff>65214</xdr:colOff>
      <xdr:row>188</xdr:row>
      <xdr:rowOff>82066</xdr:rowOff>
    </xdr:to>
    <xdr:sp macro="" textlink="">
      <xdr:nvSpPr>
        <xdr:cNvPr id="319" name="テキスト ボックス 318">
          <a:extLst>
            <a:ext uri="{FF2B5EF4-FFF2-40B4-BE49-F238E27FC236}">
              <a16:creationId xmlns:a16="http://schemas.microsoft.com/office/drawing/2014/main" id="{00000000-0008-0000-0A00-00003F010000}"/>
            </a:ext>
          </a:extLst>
        </xdr:cNvPr>
        <xdr:cNvSpPr txBox="1"/>
      </xdr:nvSpPr>
      <xdr:spPr>
        <a:xfrm>
          <a:off x="5368808" y="31171666"/>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8</xdr:col>
      <xdr:colOff>476254</xdr:colOff>
      <xdr:row>187</xdr:row>
      <xdr:rowOff>1103</xdr:rowOff>
    </xdr:from>
    <xdr:to>
      <xdr:col>9</xdr:col>
      <xdr:colOff>4766</xdr:colOff>
      <xdr:row>188</xdr:row>
      <xdr:rowOff>82066</xdr:rowOff>
    </xdr:to>
    <xdr:sp macro="" textlink="">
      <xdr:nvSpPr>
        <xdr:cNvPr id="320" name="テキスト ボックス 319">
          <a:extLst>
            <a:ext uri="{FF2B5EF4-FFF2-40B4-BE49-F238E27FC236}">
              <a16:creationId xmlns:a16="http://schemas.microsoft.com/office/drawing/2014/main" id="{00000000-0008-0000-0A00-000040010000}"/>
            </a:ext>
          </a:extLst>
        </xdr:cNvPr>
        <xdr:cNvSpPr txBox="1"/>
      </xdr:nvSpPr>
      <xdr:spPr>
        <a:xfrm>
          <a:off x="6000754" y="31171666"/>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9</xdr:col>
      <xdr:colOff>439619</xdr:colOff>
      <xdr:row>187</xdr:row>
      <xdr:rowOff>1103</xdr:rowOff>
    </xdr:from>
    <xdr:to>
      <xdr:col>9</xdr:col>
      <xdr:colOff>658694</xdr:colOff>
      <xdr:row>188</xdr:row>
      <xdr:rowOff>82066</xdr:rowOff>
    </xdr:to>
    <xdr:sp macro="" textlink="">
      <xdr:nvSpPr>
        <xdr:cNvPr id="321" name="テキスト ボックス 320">
          <a:extLst>
            <a:ext uri="{FF2B5EF4-FFF2-40B4-BE49-F238E27FC236}">
              <a16:creationId xmlns:a16="http://schemas.microsoft.com/office/drawing/2014/main" id="{00000000-0008-0000-0A00-000041010000}"/>
            </a:ext>
          </a:extLst>
        </xdr:cNvPr>
        <xdr:cNvSpPr txBox="1"/>
      </xdr:nvSpPr>
      <xdr:spPr>
        <a:xfrm>
          <a:off x="6654682" y="31171666"/>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1</xdr:col>
      <xdr:colOff>615465</xdr:colOff>
      <xdr:row>189</xdr:row>
      <xdr:rowOff>123829</xdr:rowOff>
    </xdr:from>
    <xdr:to>
      <xdr:col>2</xdr:col>
      <xdr:colOff>145809</xdr:colOff>
      <xdr:row>191</xdr:row>
      <xdr:rowOff>38104</xdr:rowOff>
    </xdr:to>
    <xdr:sp macro="" textlink="">
      <xdr:nvSpPr>
        <xdr:cNvPr id="322" name="テキスト ボックス 321">
          <a:extLst>
            <a:ext uri="{FF2B5EF4-FFF2-40B4-BE49-F238E27FC236}">
              <a16:creationId xmlns:a16="http://schemas.microsoft.com/office/drawing/2014/main" id="{00000000-0008-0000-0A00-000042010000}"/>
            </a:ext>
          </a:extLst>
        </xdr:cNvPr>
        <xdr:cNvSpPr txBox="1"/>
      </xdr:nvSpPr>
      <xdr:spPr>
        <a:xfrm>
          <a:off x="1306028" y="31627767"/>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3</xdr:col>
      <xdr:colOff>87927</xdr:colOff>
      <xdr:row>189</xdr:row>
      <xdr:rowOff>123829</xdr:rowOff>
    </xdr:from>
    <xdr:to>
      <xdr:col>3</xdr:col>
      <xdr:colOff>307002</xdr:colOff>
      <xdr:row>191</xdr:row>
      <xdr:rowOff>38104</xdr:rowOff>
    </xdr:to>
    <xdr:sp macro="" textlink="">
      <xdr:nvSpPr>
        <xdr:cNvPr id="323" name="テキスト ボックス 322">
          <a:extLst>
            <a:ext uri="{FF2B5EF4-FFF2-40B4-BE49-F238E27FC236}">
              <a16:creationId xmlns:a16="http://schemas.microsoft.com/office/drawing/2014/main" id="{00000000-0008-0000-0A00-000043010000}"/>
            </a:ext>
          </a:extLst>
        </xdr:cNvPr>
        <xdr:cNvSpPr txBox="1"/>
      </xdr:nvSpPr>
      <xdr:spPr>
        <a:xfrm>
          <a:off x="2159615" y="31627767"/>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4</xdr:col>
      <xdr:colOff>36638</xdr:colOff>
      <xdr:row>189</xdr:row>
      <xdr:rowOff>123829</xdr:rowOff>
    </xdr:from>
    <xdr:to>
      <xdr:col>4</xdr:col>
      <xdr:colOff>255713</xdr:colOff>
      <xdr:row>191</xdr:row>
      <xdr:rowOff>38104</xdr:rowOff>
    </xdr:to>
    <xdr:sp macro="" textlink="">
      <xdr:nvSpPr>
        <xdr:cNvPr id="324" name="テキスト ボックス 323">
          <a:extLst>
            <a:ext uri="{FF2B5EF4-FFF2-40B4-BE49-F238E27FC236}">
              <a16:creationId xmlns:a16="http://schemas.microsoft.com/office/drawing/2014/main" id="{00000000-0008-0000-0A00-000044010000}"/>
            </a:ext>
          </a:extLst>
        </xdr:cNvPr>
        <xdr:cNvSpPr txBox="1"/>
      </xdr:nvSpPr>
      <xdr:spPr>
        <a:xfrm>
          <a:off x="2798888" y="31627767"/>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4</xdr:col>
      <xdr:colOff>674081</xdr:colOff>
      <xdr:row>189</xdr:row>
      <xdr:rowOff>123829</xdr:rowOff>
    </xdr:from>
    <xdr:to>
      <xdr:col>5</xdr:col>
      <xdr:colOff>204425</xdr:colOff>
      <xdr:row>191</xdr:row>
      <xdr:rowOff>38104</xdr:rowOff>
    </xdr:to>
    <xdr:sp macro="" textlink="">
      <xdr:nvSpPr>
        <xdr:cNvPr id="325" name="テキスト ボックス 324">
          <a:extLst>
            <a:ext uri="{FF2B5EF4-FFF2-40B4-BE49-F238E27FC236}">
              <a16:creationId xmlns:a16="http://schemas.microsoft.com/office/drawing/2014/main" id="{00000000-0008-0000-0A00-000045010000}"/>
            </a:ext>
          </a:extLst>
        </xdr:cNvPr>
        <xdr:cNvSpPr txBox="1"/>
      </xdr:nvSpPr>
      <xdr:spPr>
        <a:xfrm>
          <a:off x="3436331" y="31627767"/>
          <a:ext cx="220907"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5</xdr:col>
      <xdr:colOff>615465</xdr:colOff>
      <xdr:row>189</xdr:row>
      <xdr:rowOff>123829</xdr:rowOff>
    </xdr:from>
    <xdr:to>
      <xdr:col>6</xdr:col>
      <xdr:colOff>145809</xdr:colOff>
      <xdr:row>191</xdr:row>
      <xdr:rowOff>38104</xdr:rowOff>
    </xdr:to>
    <xdr:sp macro="" textlink="">
      <xdr:nvSpPr>
        <xdr:cNvPr id="326" name="テキスト ボックス 325">
          <a:extLst>
            <a:ext uri="{FF2B5EF4-FFF2-40B4-BE49-F238E27FC236}">
              <a16:creationId xmlns:a16="http://schemas.microsoft.com/office/drawing/2014/main" id="{00000000-0008-0000-0A00-000046010000}"/>
            </a:ext>
          </a:extLst>
        </xdr:cNvPr>
        <xdr:cNvSpPr txBox="1"/>
      </xdr:nvSpPr>
      <xdr:spPr>
        <a:xfrm>
          <a:off x="4068278" y="31627767"/>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6</xdr:col>
      <xdr:colOff>586157</xdr:colOff>
      <xdr:row>189</xdr:row>
      <xdr:rowOff>123829</xdr:rowOff>
    </xdr:from>
    <xdr:to>
      <xdr:col>7</xdr:col>
      <xdr:colOff>116502</xdr:colOff>
      <xdr:row>191</xdr:row>
      <xdr:rowOff>38104</xdr:rowOff>
    </xdr:to>
    <xdr:sp macro="" textlink="">
      <xdr:nvSpPr>
        <xdr:cNvPr id="327" name="テキスト ボックス 326">
          <a:extLst>
            <a:ext uri="{FF2B5EF4-FFF2-40B4-BE49-F238E27FC236}">
              <a16:creationId xmlns:a16="http://schemas.microsoft.com/office/drawing/2014/main" id="{00000000-0008-0000-0A00-000047010000}"/>
            </a:ext>
          </a:extLst>
        </xdr:cNvPr>
        <xdr:cNvSpPr txBox="1"/>
      </xdr:nvSpPr>
      <xdr:spPr>
        <a:xfrm>
          <a:off x="4729532" y="31627767"/>
          <a:ext cx="22090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7</xdr:col>
      <xdr:colOff>527543</xdr:colOff>
      <xdr:row>189</xdr:row>
      <xdr:rowOff>123829</xdr:rowOff>
    </xdr:from>
    <xdr:to>
      <xdr:col>8</xdr:col>
      <xdr:colOff>57887</xdr:colOff>
      <xdr:row>191</xdr:row>
      <xdr:rowOff>38104</xdr:rowOff>
    </xdr:to>
    <xdr:sp macro="" textlink="">
      <xdr:nvSpPr>
        <xdr:cNvPr id="328" name="テキスト ボックス 327">
          <a:extLst>
            <a:ext uri="{FF2B5EF4-FFF2-40B4-BE49-F238E27FC236}">
              <a16:creationId xmlns:a16="http://schemas.microsoft.com/office/drawing/2014/main" id="{00000000-0008-0000-0A00-000048010000}"/>
            </a:ext>
          </a:extLst>
        </xdr:cNvPr>
        <xdr:cNvSpPr txBox="1"/>
      </xdr:nvSpPr>
      <xdr:spPr>
        <a:xfrm>
          <a:off x="5361481" y="31627767"/>
          <a:ext cx="22090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r>
            <a:rPr kumimoji="1" lang="ja-JP" altLang="en-US" sz="1050" b="0" i="0" u="none" strike="noStrike">
              <a:solidFill>
                <a:srgbClr val="000000"/>
              </a:solidFill>
              <a:latin typeface="OCRB" panose="020B0609020202020204" pitchFamily="49" charset="0"/>
              <a:ea typeface="ＭＳ Ｐゴシック"/>
            </a:rPr>
            <a:t> </a:t>
          </a:r>
        </a:p>
      </xdr:txBody>
    </xdr:sp>
    <xdr:clientData/>
  </xdr:twoCellAnchor>
  <xdr:twoCellAnchor>
    <xdr:from>
      <xdr:col>8</xdr:col>
      <xdr:colOff>468927</xdr:colOff>
      <xdr:row>189</xdr:row>
      <xdr:rowOff>123829</xdr:rowOff>
    </xdr:from>
    <xdr:to>
      <xdr:col>8</xdr:col>
      <xdr:colOff>688002</xdr:colOff>
      <xdr:row>191</xdr:row>
      <xdr:rowOff>38104</xdr:rowOff>
    </xdr:to>
    <xdr:sp macro="" textlink="">
      <xdr:nvSpPr>
        <xdr:cNvPr id="329" name="テキスト ボックス 328">
          <a:extLst>
            <a:ext uri="{FF2B5EF4-FFF2-40B4-BE49-F238E27FC236}">
              <a16:creationId xmlns:a16="http://schemas.microsoft.com/office/drawing/2014/main" id="{00000000-0008-0000-0A00-000049010000}"/>
            </a:ext>
          </a:extLst>
        </xdr:cNvPr>
        <xdr:cNvSpPr txBox="1"/>
      </xdr:nvSpPr>
      <xdr:spPr>
        <a:xfrm>
          <a:off x="5993427" y="31627767"/>
          <a:ext cx="219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endParaRPr kumimoji="1" lang="ja-JP" altLang="en-US" sz="1050" b="0" i="0" u="none" strike="noStrike">
            <a:solidFill>
              <a:srgbClr val="000000"/>
            </a:solidFill>
            <a:latin typeface="OCRB" panose="020B0609020202020204" pitchFamily="49" charset="0"/>
            <a:ea typeface="ＭＳ Ｐゴシック"/>
          </a:endParaRPr>
        </a:p>
      </xdr:txBody>
    </xdr:sp>
    <xdr:clientData/>
  </xdr:twoCellAnchor>
  <xdr:twoCellAnchor>
    <xdr:from>
      <xdr:col>4</xdr:col>
      <xdr:colOff>133764</xdr:colOff>
      <xdr:row>6</xdr:row>
      <xdr:rowOff>88900</xdr:rowOff>
    </xdr:from>
    <xdr:to>
      <xdr:col>5</xdr:col>
      <xdr:colOff>82825</xdr:colOff>
      <xdr:row>7</xdr:row>
      <xdr:rowOff>158750</xdr:rowOff>
    </xdr:to>
    <xdr:sp macro="" textlink="計算シート!C40">
      <xdr:nvSpPr>
        <xdr:cNvPr id="330" name="テキスト ボックス 329">
          <a:extLst>
            <a:ext uri="{FF2B5EF4-FFF2-40B4-BE49-F238E27FC236}">
              <a16:creationId xmlns:a16="http://schemas.microsoft.com/office/drawing/2014/main" id="{00000000-0008-0000-0A00-00004A010000}"/>
            </a:ext>
          </a:extLst>
        </xdr:cNvPr>
        <xdr:cNvSpPr txBox="1"/>
      </xdr:nvSpPr>
      <xdr:spPr>
        <a:xfrm>
          <a:off x="2883590" y="1132509"/>
          <a:ext cx="636518" cy="24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r>
            <a:rPr kumimoji="1" lang="en-US" altLang="en-US" sz="1200" b="0" i="0" u="none" strike="noStrike" spc="910" baseline="0">
              <a:solidFill>
                <a:srgbClr val="000000"/>
              </a:solidFill>
              <a:latin typeface="OCRB" pitchFamily="49" charset="0"/>
              <a:ea typeface="ＭＳ Ｐゴシック"/>
            </a:rPr>
            <a:t>622</a:t>
          </a:r>
        </a:p>
      </xdr:txBody>
    </xdr:sp>
    <xdr:clientData/>
  </xdr:twoCellAnchor>
  <xdr:twoCellAnchor>
    <xdr:from>
      <xdr:col>3</xdr:col>
      <xdr:colOff>125480</xdr:colOff>
      <xdr:row>72</xdr:row>
      <xdr:rowOff>39204</xdr:rowOff>
    </xdr:from>
    <xdr:to>
      <xdr:col>4</xdr:col>
      <xdr:colOff>74542</xdr:colOff>
      <xdr:row>73</xdr:row>
      <xdr:rowOff>109053</xdr:rowOff>
    </xdr:to>
    <xdr:sp macro="" textlink="計算シート!B40">
      <xdr:nvSpPr>
        <xdr:cNvPr id="331" name="テキスト ボックス 330">
          <a:extLst>
            <a:ext uri="{FF2B5EF4-FFF2-40B4-BE49-F238E27FC236}">
              <a16:creationId xmlns:a16="http://schemas.microsoft.com/office/drawing/2014/main" id="{00000000-0008-0000-0A00-00004B010000}"/>
            </a:ext>
          </a:extLst>
        </xdr:cNvPr>
        <xdr:cNvSpPr txBox="1"/>
      </xdr:nvSpPr>
      <xdr:spPr>
        <a:xfrm>
          <a:off x="2187850" y="12562508"/>
          <a:ext cx="636518" cy="24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r>
            <a:rPr kumimoji="1" lang="en-US" altLang="en-US" sz="1200" b="0" i="0" u="none" strike="noStrike" spc="910" baseline="0">
              <a:solidFill>
                <a:srgbClr val="000000"/>
              </a:solidFill>
              <a:latin typeface="OCRB" pitchFamily="49" charset="0"/>
              <a:ea typeface="ＭＳ Ｐゴシック"/>
            </a:rPr>
            <a:t>023</a:t>
          </a:r>
        </a:p>
      </xdr:txBody>
    </xdr:sp>
    <xdr:clientData/>
  </xdr:twoCellAnchor>
  <xdr:twoCellAnchor>
    <xdr:from>
      <xdr:col>4</xdr:col>
      <xdr:colOff>74766</xdr:colOff>
      <xdr:row>72</xdr:row>
      <xdr:rowOff>39204</xdr:rowOff>
    </xdr:from>
    <xdr:to>
      <xdr:col>5</xdr:col>
      <xdr:colOff>23827</xdr:colOff>
      <xdr:row>73</xdr:row>
      <xdr:rowOff>109053</xdr:rowOff>
    </xdr:to>
    <xdr:sp macro="" textlink="計算シート!C40">
      <xdr:nvSpPr>
        <xdr:cNvPr id="332" name="テキスト ボックス 331">
          <a:extLst>
            <a:ext uri="{FF2B5EF4-FFF2-40B4-BE49-F238E27FC236}">
              <a16:creationId xmlns:a16="http://schemas.microsoft.com/office/drawing/2014/main" id="{00000000-0008-0000-0A00-00004C010000}"/>
            </a:ext>
          </a:extLst>
        </xdr:cNvPr>
        <xdr:cNvSpPr txBox="1"/>
      </xdr:nvSpPr>
      <xdr:spPr>
        <a:xfrm>
          <a:off x="2824592" y="12562508"/>
          <a:ext cx="636518" cy="24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r>
            <a:rPr kumimoji="1" lang="en-US" altLang="en-US" sz="1200" b="0" i="0" u="none" strike="noStrike" spc="910" baseline="0">
              <a:solidFill>
                <a:srgbClr val="000000"/>
              </a:solidFill>
              <a:latin typeface="OCRB" pitchFamily="49" charset="0"/>
              <a:ea typeface="ＭＳ Ｐゴシック"/>
            </a:rPr>
            <a:t>622</a:t>
          </a:r>
        </a:p>
      </xdr:txBody>
    </xdr:sp>
    <xdr:clientData/>
  </xdr:twoCellAnchor>
  <xdr:twoCellAnchor>
    <xdr:from>
      <xdr:col>3</xdr:col>
      <xdr:colOff>99612</xdr:colOff>
      <xdr:row>138</xdr:row>
      <xdr:rowOff>39204</xdr:rowOff>
    </xdr:from>
    <xdr:to>
      <xdr:col>4</xdr:col>
      <xdr:colOff>48674</xdr:colOff>
      <xdr:row>139</xdr:row>
      <xdr:rowOff>109053</xdr:rowOff>
    </xdr:to>
    <xdr:sp macro="" textlink="計算シート!B40">
      <xdr:nvSpPr>
        <xdr:cNvPr id="333" name="テキスト ボックス 332">
          <a:extLst>
            <a:ext uri="{FF2B5EF4-FFF2-40B4-BE49-F238E27FC236}">
              <a16:creationId xmlns:a16="http://schemas.microsoft.com/office/drawing/2014/main" id="{00000000-0008-0000-0A00-00004D010000}"/>
            </a:ext>
          </a:extLst>
        </xdr:cNvPr>
        <xdr:cNvSpPr txBox="1"/>
      </xdr:nvSpPr>
      <xdr:spPr>
        <a:xfrm>
          <a:off x="2161982" y="24042204"/>
          <a:ext cx="636518" cy="24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r>
            <a:rPr kumimoji="1" lang="en-US" altLang="en-US" sz="1200" b="0" i="0" u="none" strike="noStrike" spc="910" baseline="0">
              <a:solidFill>
                <a:srgbClr val="000000"/>
              </a:solidFill>
              <a:latin typeface="OCRB" pitchFamily="49" charset="0"/>
              <a:ea typeface="ＭＳ Ｐゴシック"/>
            </a:rPr>
            <a:t>023</a:t>
          </a:r>
        </a:p>
      </xdr:txBody>
    </xdr:sp>
    <xdr:clientData/>
  </xdr:twoCellAnchor>
  <xdr:twoCellAnchor>
    <xdr:from>
      <xdr:col>4</xdr:col>
      <xdr:colOff>54761</xdr:colOff>
      <xdr:row>138</xdr:row>
      <xdr:rowOff>39204</xdr:rowOff>
    </xdr:from>
    <xdr:to>
      <xdr:col>5</xdr:col>
      <xdr:colOff>3822</xdr:colOff>
      <xdr:row>139</xdr:row>
      <xdr:rowOff>109053</xdr:rowOff>
    </xdr:to>
    <xdr:sp macro="" textlink="計算シート!C40">
      <xdr:nvSpPr>
        <xdr:cNvPr id="334" name="テキスト ボックス 333">
          <a:extLst>
            <a:ext uri="{FF2B5EF4-FFF2-40B4-BE49-F238E27FC236}">
              <a16:creationId xmlns:a16="http://schemas.microsoft.com/office/drawing/2014/main" id="{00000000-0008-0000-0A00-00004E010000}"/>
            </a:ext>
          </a:extLst>
        </xdr:cNvPr>
        <xdr:cNvSpPr txBox="1"/>
      </xdr:nvSpPr>
      <xdr:spPr>
        <a:xfrm>
          <a:off x="2804587" y="24042204"/>
          <a:ext cx="636518" cy="24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r>
            <a:rPr kumimoji="1" lang="en-US" altLang="en-US" sz="1200" b="0" i="0" u="none" strike="noStrike" spc="910" baseline="0">
              <a:solidFill>
                <a:srgbClr val="000000"/>
              </a:solidFill>
              <a:latin typeface="OCRB" pitchFamily="49" charset="0"/>
              <a:ea typeface="ＭＳ Ｐゴシック"/>
            </a:rPr>
            <a:t>622</a:t>
          </a:r>
        </a:p>
      </xdr:txBody>
    </xdr:sp>
    <xdr:clientData/>
  </xdr:twoCellAnchor>
  <xdr:twoCellAnchor>
    <xdr:from>
      <xdr:col>7</xdr:col>
      <xdr:colOff>333</xdr:colOff>
      <xdr:row>6</xdr:row>
      <xdr:rowOff>93663</xdr:rowOff>
    </xdr:from>
    <xdr:to>
      <xdr:col>7</xdr:col>
      <xdr:colOff>563217</xdr:colOff>
      <xdr:row>8</xdr:row>
      <xdr:rowOff>3728</xdr:rowOff>
    </xdr:to>
    <xdr:sp macro="" textlink="計算シート!S2">
      <xdr:nvSpPr>
        <xdr:cNvPr id="335" name="テキスト ボックス 334">
          <a:extLst>
            <a:ext uri="{FF2B5EF4-FFF2-40B4-BE49-F238E27FC236}">
              <a16:creationId xmlns:a16="http://schemas.microsoft.com/office/drawing/2014/main" id="{00000000-0008-0000-0A00-00004F010000}"/>
            </a:ext>
          </a:extLst>
        </xdr:cNvPr>
        <xdr:cNvSpPr txBox="1"/>
      </xdr:nvSpPr>
      <xdr:spPr>
        <a:xfrm>
          <a:off x="4267533" y="1093788"/>
          <a:ext cx="562884" cy="24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200" b="0" i="0" u="none" strike="noStrike" spc="910" baseline="0">
              <a:solidFill>
                <a:srgbClr val="000000"/>
              </a:solidFill>
              <a:latin typeface="OCRB" pitchFamily="49" charset="0"/>
              <a:ea typeface="ＭＳ Ｐゴシック"/>
            </a:rPr>
            <a:pPr/>
            <a:t>000</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7</xdr:col>
      <xdr:colOff>568514</xdr:colOff>
      <xdr:row>6</xdr:row>
      <xdr:rowOff>93663</xdr:rowOff>
    </xdr:from>
    <xdr:to>
      <xdr:col>9</xdr:col>
      <xdr:colOff>90487</xdr:colOff>
      <xdr:row>8</xdr:row>
      <xdr:rowOff>3728</xdr:rowOff>
    </xdr:to>
    <xdr:sp macro="" textlink="計算シート!U2">
      <xdr:nvSpPr>
        <xdr:cNvPr id="336" name="テキスト ボックス 335">
          <a:extLst>
            <a:ext uri="{FF2B5EF4-FFF2-40B4-BE49-F238E27FC236}">
              <a16:creationId xmlns:a16="http://schemas.microsoft.com/office/drawing/2014/main" id="{00000000-0008-0000-0A00-000050010000}"/>
            </a:ext>
          </a:extLst>
        </xdr:cNvPr>
        <xdr:cNvSpPr txBox="1"/>
      </xdr:nvSpPr>
      <xdr:spPr>
        <a:xfrm>
          <a:off x="4835714" y="1093788"/>
          <a:ext cx="741173" cy="24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200" b="0" i="0" u="none" strike="noStrike" spc="910" baseline="0">
              <a:solidFill>
                <a:srgbClr val="000000"/>
              </a:solidFill>
              <a:latin typeface="OCRB" pitchFamily="49" charset="0"/>
              <a:ea typeface="ＭＳ Ｐゴシック"/>
            </a:rPr>
            <a:pPr/>
            <a:t>0000</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5</xdr:col>
      <xdr:colOff>663021</xdr:colOff>
      <xdr:row>72</xdr:row>
      <xdr:rowOff>30921</xdr:rowOff>
    </xdr:from>
    <xdr:to>
      <xdr:col>6</xdr:col>
      <xdr:colOff>513521</xdr:colOff>
      <xdr:row>73</xdr:row>
      <xdr:rowOff>100770</xdr:rowOff>
    </xdr:to>
    <xdr:sp macro="" textlink="計算シート!Q2">
      <xdr:nvSpPr>
        <xdr:cNvPr id="337" name="テキスト ボックス 336">
          <a:extLst>
            <a:ext uri="{FF2B5EF4-FFF2-40B4-BE49-F238E27FC236}">
              <a16:creationId xmlns:a16="http://schemas.microsoft.com/office/drawing/2014/main" id="{00000000-0008-0000-0A00-000051010000}"/>
            </a:ext>
          </a:extLst>
        </xdr:cNvPr>
        <xdr:cNvSpPr txBox="1"/>
      </xdr:nvSpPr>
      <xdr:spPr>
        <a:xfrm>
          <a:off x="4100304" y="12554225"/>
          <a:ext cx="537956" cy="24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200" b="0" i="0" u="none" strike="noStrike" spc="910" baseline="0">
              <a:solidFill>
                <a:srgbClr val="000000"/>
              </a:solidFill>
              <a:latin typeface="OCRB" pitchFamily="49" charset="0"/>
              <a:ea typeface="ＭＳ Ｐゴシック"/>
            </a:rPr>
            <a:pPr/>
            <a:t>000</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6</xdr:col>
      <xdr:colOff>584556</xdr:colOff>
      <xdr:row>72</xdr:row>
      <xdr:rowOff>30921</xdr:rowOff>
    </xdr:from>
    <xdr:to>
      <xdr:col>7</xdr:col>
      <xdr:colOff>480775</xdr:colOff>
      <xdr:row>73</xdr:row>
      <xdr:rowOff>100770</xdr:rowOff>
    </xdr:to>
    <xdr:sp macro="" textlink="計算シート!S2">
      <xdr:nvSpPr>
        <xdr:cNvPr id="338" name="テキスト ボックス 337">
          <a:extLst>
            <a:ext uri="{FF2B5EF4-FFF2-40B4-BE49-F238E27FC236}">
              <a16:creationId xmlns:a16="http://schemas.microsoft.com/office/drawing/2014/main" id="{00000000-0008-0000-0A00-000052010000}"/>
            </a:ext>
          </a:extLst>
        </xdr:cNvPr>
        <xdr:cNvSpPr txBox="1"/>
      </xdr:nvSpPr>
      <xdr:spPr>
        <a:xfrm>
          <a:off x="4709295" y="12554225"/>
          <a:ext cx="583676" cy="24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200" b="0" i="0" u="none" strike="noStrike" spc="910" baseline="0">
              <a:solidFill>
                <a:srgbClr val="000000"/>
              </a:solidFill>
              <a:latin typeface="OCRB" pitchFamily="49" charset="0"/>
              <a:ea typeface="ＭＳ Ｐゴシック"/>
            </a:rPr>
            <a:pPr/>
            <a:t>000</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7</xdr:col>
      <xdr:colOff>538370</xdr:colOff>
      <xdr:row>72</xdr:row>
      <xdr:rowOff>30920</xdr:rowOff>
    </xdr:from>
    <xdr:to>
      <xdr:col>8</xdr:col>
      <xdr:colOff>621165</xdr:colOff>
      <xdr:row>73</xdr:row>
      <xdr:rowOff>124238</xdr:rowOff>
    </xdr:to>
    <xdr:sp macro="" textlink="計算シート!U2">
      <xdr:nvSpPr>
        <xdr:cNvPr id="339" name="テキスト ボックス 338">
          <a:extLst>
            <a:ext uri="{FF2B5EF4-FFF2-40B4-BE49-F238E27FC236}">
              <a16:creationId xmlns:a16="http://schemas.microsoft.com/office/drawing/2014/main" id="{00000000-0008-0000-0A00-000053010000}"/>
            </a:ext>
          </a:extLst>
        </xdr:cNvPr>
        <xdr:cNvSpPr txBox="1"/>
      </xdr:nvSpPr>
      <xdr:spPr>
        <a:xfrm>
          <a:off x="5350566" y="12554224"/>
          <a:ext cx="770251" cy="267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200" b="0" i="0" u="none" strike="noStrike" spc="910" baseline="0">
              <a:solidFill>
                <a:srgbClr val="000000"/>
              </a:solidFill>
              <a:latin typeface="OCRB" pitchFamily="49" charset="0"/>
              <a:ea typeface="ＭＳ Ｐゴシック"/>
            </a:rPr>
            <a:pPr/>
            <a:t>0000</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5</xdr:col>
      <xdr:colOff>663021</xdr:colOff>
      <xdr:row>138</xdr:row>
      <xdr:rowOff>47486</xdr:rowOff>
    </xdr:from>
    <xdr:to>
      <xdr:col>6</xdr:col>
      <xdr:colOff>513521</xdr:colOff>
      <xdr:row>139</xdr:row>
      <xdr:rowOff>117335</xdr:rowOff>
    </xdr:to>
    <xdr:sp macro="" textlink="計算シート!Q2">
      <xdr:nvSpPr>
        <xdr:cNvPr id="340" name="テキスト ボックス 339">
          <a:extLst>
            <a:ext uri="{FF2B5EF4-FFF2-40B4-BE49-F238E27FC236}">
              <a16:creationId xmlns:a16="http://schemas.microsoft.com/office/drawing/2014/main" id="{00000000-0008-0000-0A00-000054010000}"/>
            </a:ext>
          </a:extLst>
        </xdr:cNvPr>
        <xdr:cNvSpPr txBox="1"/>
      </xdr:nvSpPr>
      <xdr:spPr>
        <a:xfrm>
          <a:off x="4100304" y="24050486"/>
          <a:ext cx="537956" cy="24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C676A292-54A5-477E-8580-F9F93C2ED531}" type="TxLink">
            <a:rPr kumimoji="1" lang="en-US" altLang="en-US" sz="1200" b="0" i="0" u="none" strike="noStrike" spc="910" baseline="0">
              <a:solidFill>
                <a:srgbClr val="000000"/>
              </a:solidFill>
              <a:latin typeface="OCRB" pitchFamily="49" charset="0"/>
              <a:ea typeface="ＭＳ Ｐゴシック"/>
            </a:rPr>
            <a:pPr/>
            <a:t>000</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6</xdr:col>
      <xdr:colOff>601122</xdr:colOff>
      <xdr:row>138</xdr:row>
      <xdr:rowOff>47486</xdr:rowOff>
    </xdr:from>
    <xdr:to>
      <xdr:col>7</xdr:col>
      <xdr:colOff>497341</xdr:colOff>
      <xdr:row>139</xdr:row>
      <xdr:rowOff>117335</xdr:rowOff>
    </xdr:to>
    <xdr:sp macro="" textlink="計算シート!S2">
      <xdr:nvSpPr>
        <xdr:cNvPr id="341" name="テキスト ボックス 340">
          <a:extLst>
            <a:ext uri="{FF2B5EF4-FFF2-40B4-BE49-F238E27FC236}">
              <a16:creationId xmlns:a16="http://schemas.microsoft.com/office/drawing/2014/main" id="{00000000-0008-0000-0A00-000055010000}"/>
            </a:ext>
          </a:extLst>
        </xdr:cNvPr>
        <xdr:cNvSpPr txBox="1"/>
      </xdr:nvSpPr>
      <xdr:spPr>
        <a:xfrm>
          <a:off x="4725861" y="24050486"/>
          <a:ext cx="583676" cy="24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F3C61E32-25DE-4BC2-90FD-09064F2380DB}" type="TxLink">
            <a:rPr kumimoji="1" lang="en-US" altLang="en-US" sz="1200" b="0" i="0" u="none" strike="noStrike" spc="910" baseline="0">
              <a:solidFill>
                <a:srgbClr val="000000"/>
              </a:solidFill>
              <a:latin typeface="OCRB" pitchFamily="49" charset="0"/>
              <a:ea typeface="ＭＳ Ｐゴシック"/>
            </a:rPr>
            <a:pPr/>
            <a:t>000</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7</xdr:col>
      <xdr:colOff>538369</xdr:colOff>
      <xdr:row>138</xdr:row>
      <xdr:rowOff>47486</xdr:rowOff>
    </xdr:from>
    <xdr:to>
      <xdr:col>8</xdr:col>
      <xdr:colOff>644135</xdr:colOff>
      <xdr:row>139</xdr:row>
      <xdr:rowOff>115956</xdr:rowOff>
    </xdr:to>
    <xdr:sp macro="" textlink="計算シート!U2">
      <xdr:nvSpPr>
        <xdr:cNvPr id="342" name="テキスト ボックス 341">
          <a:extLst>
            <a:ext uri="{FF2B5EF4-FFF2-40B4-BE49-F238E27FC236}">
              <a16:creationId xmlns:a16="http://schemas.microsoft.com/office/drawing/2014/main" id="{00000000-0008-0000-0A00-000056010000}"/>
            </a:ext>
          </a:extLst>
        </xdr:cNvPr>
        <xdr:cNvSpPr txBox="1"/>
      </xdr:nvSpPr>
      <xdr:spPr>
        <a:xfrm>
          <a:off x="5350565" y="24050486"/>
          <a:ext cx="793222" cy="242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2CDD2BCA-ADDF-44AA-AA21-4D635A473CE8}" type="TxLink">
            <a:rPr kumimoji="1" lang="en-US" altLang="en-US" sz="1200" b="0" i="0" u="none" strike="noStrike" spc="910" baseline="0">
              <a:solidFill>
                <a:srgbClr val="000000"/>
              </a:solidFill>
              <a:latin typeface="OCRB" pitchFamily="49" charset="0"/>
              <a:ea typeface="ＭＳ Ｐゴシック"/>
            </a:rPr>
            <a:pPr/>
            <a:t>0000</a:t>
          </a:fld>
          <a:endParaRPr kumimoji="1" lang="en-US" altLang="en-US" sz="1200" b="0" i="0" u="none" strike="noStrike" spc="910" baseline="0">
            <a:solidFill>
              <a:srgbClr val="000000"/>
            </a:solidFill>
            <a:latin typeface="OCRB" pitchFamily="49" charset="0"/>
            <a:ea typeface="ＭＳ Ｐゴシック"/>
          </a:endParaRPr>
        </a:p>
      </xdr:txBody>
    </xdr:sp>
    <xdr:clientData/>
  </xdr:twoCellAnchor>
  <xdr:twoCellAnchor>
    <xdr:from>
      <xdr:col>0</xdr:col>
      <xdr:colOff>356151</xdr:colOff>
      <xdr:row>9</xdr:row>
      <xdr:rowOff>157370</xdr:rowOff>
    </xdr:from>
    <xdr:to>
      <xdr:col>1</xdr:col>
      <xdr:colOff>211014</xdr:colOff>
      <xdr:row>11</xdr:row>
      <xdr:rowOff>41413</xdr:rowOff>
    </xdr:to>
    <xdr:sp macro="" textlink="">
      <xdr:nvSpPr>
        <xdr:cNvPr id="344" name="テキスト ボックス 343">
          <a:extLst>
            <a:ext uri="{FF2B5EF4-FFF2-40B4-BE49-F238E27FC236}">
              <a16:creationId xmlns:a16="http://schemas.microsoft.com/office/drawing/2014/main" id="{00000000-0008-0000-0A00-000058010000}"/>
            </a:ext>
          </a:extLst>
        </xdr:cNvPr>
        <xdr:cNvSpPr txBox="1"/>
      </xdr:nvSpPr>
      <xdr:spPr>
        <a:xfrm>
          <a:off x="356151" y="1722783"/>
          <a:ext cx="542320" cy="2319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b="1"/>
            <a:t>名前</a:t>
          </a:r>
        </a:p>
      </xdr:txBody>
    </xdr:sp>
    <xdr:clientData/>
  </xdr:twoCellAnchor>
  <xdr:twoCellAnchor>
    <xdr:from>
      <xdr:col>2</xdr:col>
      <xdr:colOff>679174</xdr:colOff>
      <xdr:row>13</xdr:row>
      <xdr:rowOff>49695</xdr:rowOff>
    </xdr:from>
    <xdr:to>
      <xdr:col>8</xdr:col>
      <xdr:colOff>177513</xdr:colOff>
      <xdr:row>14</xdr:row>
      <xdr:rowOff>82825</xdr:rowOff>
    </xdr:to>
    <xdr:sp macro="" textlink="基本情報!B6">
      <xdr:nvSpPr>
        <xdr:cNvPr id="369" name="テキスト ボックス 368">
          <a:extLst>
            <a:ext uri="{FF2B5EF4-FFF2-40B4-BE49-F238E27FC236}">
              <a16:creationId xmlns:a16="http://schemas.microsoft.com/office/drawing/2014/main" id="{00000000-0008-0000-0A00-000071010000}"/>
            </a:ext>
          </a:extLst>
        </xdr:cNvPr>
        <xdr:cNvSpPr txBox="1"/>
      </xdr:nvSpPr>
      <xdr:spPr>
        <a:xfrm>
          <a:off x="2054087" y="2310847"/>
          <a:ext cx="3623078" cy="2070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rtlCol="0" anchor="t"/>
        <a:lstStyle/>
        <a:p>
          <a:pPr algn="l"/>
          <a:fld id="{948A6991-151A-4A2C-B779-1023F400295F}" type="TxLink">
            <a:rPr kumimoji="1" lang="ja-JP" altLang="en-US" sz="900" b="0" i="0" u="none" strike="noStrike">
              <a:solidFill>
                <a:srgbClr val="000000"/>
              </a:solidFill>
              <a:latin typeface="ＭＳ Ｐゴシック"/>
              <a:ea typeface="ＭＳ Ｐゴシック"/>
            </a:rPr>
            <a:pPr algn="l"/>
            <a:t> </a:t>
          </a:fld>
          <a:endParaRPr kumimoji="1" lang="ja-JP" altLang="en-US" sz="1100">
            <a:latin typeface="ＭＳ 明朝" pitchFamily="17" charset="-128"/>
            <a:ea typeface="ＭＳ 明朝" pitchFamily="17" charset="-128"/>
          </a:endParaRPr>
        </a:p>
      </xdr:txBody>
    </xdr:sp>
    <xdr:clientData/>
  </xdr:twoCellAnchor>
  <xdr:twoCellAnchor>
    <xdr:from>
      <xdr:col>8</xdr:col>
      <xdr:colOff>561474</xdr:colOff>
      <xdr:row>12</xdr:row>
      <xdr:rowOff>55145</xdr:rowOff>
    </xdr:from>
    <xdr:to>
      <xdr:col>10</xdr:col>
      <xdr:colOff>526382</xdr:colOff>
      <xdr:row>14</xdr:row>
      <xdr:rowOff>60157</xdr:rowOff>
    </xdr:to>
    <xdr:sp macro="" textlink="基本情報!B8">
      <xdr:nvSpPr>
        <xdr:cNvPr id="375" name="テキスト ボックス 374">
          <a:extLst>
            <a:ext uri="{FF2B5EF4-FFF2-40B4-BE49-F238E27FC236}">
              <a16:creationId xmlns:a16="http://schemas.microsoft.com/office/drawing/2014/main" id="{00000000-0008-0000-0A00-000077010000}"/>
            </a:ext>
          </a:extLst>
        </xdr:cNvPr>
        <xdr:cNvSpPr txBox="1"/>
      </xdr:nvSpPr>
      <xdr:spPr>
        <a:xfrm>
          <a:off x="6055895" y="2100513"/>
          <a:ext cx="1338513" cy="34590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6F1CEAEF-F555-4360-8FBB-AE7E1C7269A6}" type="TxLink">
            <a:rPr kumimoji="1" lang="en-US" altLang="en-US" sz="900" b="0" i="0" u="none" strike="noStrike" spc="0" baseline="0">
              <a:solidFill>
                <a:srgbClr val="000000"/>
              </a:solidFill>
              <a:latin typeface="ＭＳ Ｐゴシック"/>
              <a:ea typeface="ＭＳ Ｐゴシック"/>
            </a:rPr>
            <a:pPr algn="ctr"/>
            <a:t> </a:t>
          </a:fld>
          <a:endParaRPr kumimoji="1" lang="en-US" altLang="en-US" sz="900" b="0" i="0" u="none" strike="noStrike" spc="0" baseline="0">
            <a:solidFill>
              <a:srgbClr val="000000"/>
            </a:solidFill>
            <a:latin typeface="ＭＳ Ｐゴシック"/>
            <a:ea typeface="ＭＳ Ｐゴシック"/>
          </a:endParaRPr>
        </a:p>
      </xdr:txBody>
    </xdr:sp>
    <xdr:clientData/>
  </xdr:twoCellAnchor>
  <xdr:twoCellAnchor editAs="oneCell">
    <xdr:from>
      <xdr:col>1</xdr:col>
      <xdr:colOff>95250</xdr:colOff>
      <xdr:row>69</xdr:row>
      <xdr:rowOff>53445</xdr:rowOff>
    </xdr:from>
    <xdr:to>
      <xdr:col>1</xdr:col>
      <xdr:colOff>600075</xdr:colOff>
      <xdr:row>71</xdr:row>
      <xdr:rowOff>19049</xdr:rowOff>
    </xdr:to>
    <xdr:pic>
      <xdr:nvPicPr>
        <xdr:cNvPr id="356" name="図 355">
          <a:extLst>
            <a:ext uri="{FF2B5EF4-FFF2-40B4-BE49-F238E27FC236}">
              <a16:creationId xmlns:a16="http://schemas.microsoft.com/office/drawing/2014/main" id="{00000000-0008-0000-0A00-00006401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1050" y="11883495"/>
          <a:ext cx="504825" cy="3085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66676</xdr:colOff>
      <xdr:row>135</xdr:row>
      <xdr:rowOff>18959</xdr:rowOff>
    </xdr:from>
    <xdr:to>
      <xdr:col>1</xdr:col>
      <xdr:colOff>619126</xdr:colOff>
      <xdr:row>137</xdr:row>
      <xdr:rowOff>28575</xdr:rowOff>
    </xdr:to>
    <xdr:pic>
      <xdr:nvPicPr>
        <xdr:cNvPr id="357" name="図 356">
          <a:extLst>
            <a:ext uri="{FF2B5EF4-FFF2-40B4-BE49-F238E27FC236}">
              <a16:creationId xmlns:a16="http://schemas.microsoft.com/office/drawing/2014/main" id="{00000000-0008-0000-0A00-00006501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2476" y="23164709"/>
          <a:ext cx="552450" cy="3525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85725</xdr:colOff>
      <xdr:row>18</xdr:row>
      <xdr:rowOff>9525</xdr:rowOff>
    </xdr:from>
    <xdr:to>
      <xdr:col>1</xdr:col>
      <xdr:colOff>485775</xdr:colOff>
      <xdr:row>20</xdr:row>
      <xdr:rowOff>47625</xdr:rowOff>
    </xdr:to>
    <xdr:sp macro="" textlink="基本情報!B14">
      <xdr:nvSpPr>
        <xdr:cNvPr id="383" name="テキスト ボックス 382">
          <a:extLst>
            <a:ext uri="{FF2B5EF4-FFF2-40B4-BE49-F238E27FC236}">
              <a16:creationId xmlns:a16="http://schemas.microsoft.com/office/drawing/2014/main" id="{00000000-0008-0000-0A00-00007F010000}"/>
            </a:ext>
          </a:extLst>
        </xdr:cNvPr>
        <xdr:cNvSpPr txBox="1"/>
      </xdr:nvSpPr>
      <xdr:spPr>
        <a:xfrm>
          <a:off x="771525" y="3095625"/>
          <a:ext cx="4000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ctr"/>
          <a:fld id="{4C4C79D9-6338-43CA-91C1-C52A37AC01C2}" type="TxLink">
            <a:rPr kumimoji="1" lang="en-US" altLang="en-US" sz="1200" b="0" i="0" u="none" strike="noStrike" spc="0" baseline="0">
              <a:solidFill>
                <a:srgbClr val="000000"/>
              </a:solidFill>
              <a:latin typeface="OCRB" panose="020B0609020202020204" pitchFamily="49" charset="0"/>
              <a:ea typeface="ＭＳ Ｐゴシック"/>
            </a:rPr>
            <a:pPr algn="ctr"/>
            <a:t>5</a:t>
          </a:fld>
          <a:endParaRPr kumimoji="1" lang="en-US" altLang="en-US" sz="1200" b="0" i="0" u="none" strike="noStrike" spc="0" baseline="0">
            <a:solidFill>
              <a:srgbClr val="000000"/>
            </a:solidFill>
            <a:latin typeface="OCRB" panose="020B0609020202020204" pitchFamily="49" charset="0"/>
            <a:ea typeface="ＭＳ Ｐゴシック"/>
          </a:endParaRPr>
        </a:p>
      </xdr:txBody>
    </xdr:sp>
    <xdr:clientData/>
  </xdr:twoCellAnchor>
  <xdr:twoCellAnchor>
    <xdr:from>
      <xdr:col>1</xdr:col>
      <xdr:colOff>54585</xdr:colOff>
      <xdr:row>12</xdr:row>
      <xdr:rowOff>55320</xdr:rowOff>
    </xdr:from>
    <xdr:to>
      <xdr:col>2</xdr:col>
      <xdr:colOff>659790</xdr:colOff>
      <xdr:row>14</xdr:row>
      <xdr:rowOff>69973</xdr:rowOff>
    </xdr:to>
    <xdr:sp macro="" textlink="基本情報!B9">
      <xdr:nvSpPr>
        <xdr:cNvPr id="378" name="テキスト ボックス 377">
          <a:extLst>
            <a:ext uri="{FF2B5EF4-FFF2-40B4-BE49-F238E27FC236}">
              <a16:creationId xmlns:a16="http://schemas.microsoft.com/office/drawing/2014/main" id="{00000000-0008-0000-0A00-00007A010000}"/>
            </a:ext>
          </a:extLst>
        </xdr:cNvPr>
        <xdr:cNvSpPr txBox="1"/>
      </xdr:nvSpPr>
      <xdr:spPr>
        <a:xfrm>
          <a:off x="740385" y="2112720"/>
          <a:ext cx="1291005" cy="357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0"/>
        <a:lstStyle/>
        <a:p>
          <a:fld id="{2756FCB7-5BE7-4FF0-AB75-EEC1AB628FAE}" type="TxLink">
            <a:rPr kumimoji="1" lang="ja-JP" altLang="en-US" sz="900" b="0" i="0" u="none" strike="noStrike">
              <a:solidFill>
                <a:srgbClr val="000000"/>
              </a:solidFill>
              <a:latin typeface="ＭＳ Ｐゴシック"/>
              <a:ea typeface="ＭＳ Ｐゴシック"/>
            </a:rPr>
            <a:pPr/>
            <a:t> </a:t>
          </a:fld>
          <a:endParaRPr kumimoji="1" lang="en-US" altLang="ja-JP" sz="900" b="0" i="0" u="none" strike="noStrike">
            <a:solidFill>
              <a:srgbClr val="000000"/>
            </a:solidFill>
            <a:latin typeface="ＭＳ Ｐゴシック"/>
            <a:ea typeface="ＭＳ Ｐゴシック"/>
          </a:endParaRPr>
        </a:p>
      </xdr:txBody>
    </xdr:sp>
    <xdr:clientData/>
  </xdr:twoCellAnchor>
  <xdr:twoCellAnchor>
    <xdr:from>
      <xdr:col>1</xdr:col>
      <xdr:colOff>231913</xdr:colOff>
      <xdr:row>20</xdr:row>
      <xdr:rowOff>41275</xdr:rowOff>
    </xdr:from>
    <xdr:to>
      <xdr:col>2</xdr:col>
      <xdr:colOff>323020</xdr:colOff>
      <xdr:row>22</xdr:row>
      <xdr:rowOff>33131</xdr:rowOff>
    </xdr:to>
    <xdr:sp macro="" textlink="計算シート!Y3">
      <xdr:nvSpPr>
        <xdr:cNvPr id="382" name="テキスト ボックス 381">
          <a:extLst>
            <a:ext uri="{FF2B5EF4-FFF2-40B4-BE49-F238E27FC236}">
              <a16:creationId xmlns:a16="http://schemas.microsoft.com/office/drawing/2014/main" id="{00000000-0008-0000-0A00-00007E010000}"/>
            </a:ext>
          </a:extLst>
        </xdr:cNvPr>
        <xdr:cNvSpPr txBox="1"/>
      </xdr:nvSpPr>
      <xdr:spPr>
        <a:xfrm>
          <a:off x="919370" y="3519971"/>
          <a:ext cx="778563"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32F904C0-4537-4A08-A58B-6DDE1987F288}" type="TxLink">
            <a:rPr kumimoji="1" lang="en-US" altLang="en-US" sz="1200" b="0" i="0" u="none" strike="noStrike" spc="910" baseline="0">
              <a:solidFill>
                <a:srgbClr val="000000"/>
              </a:solidFill>
              <a:latin typeface="OCRB" panose="020B0609020202020204" pitchFamily="49" charset="0"/>
              <a:ea typeface="ＭＳ Ｐゴシック"/>
            </a:rPr>
            <a:pPr/>
            <a:t>    </a:t>
          </a:fld>
          <a:endParaRPr kumimoji="1" lang="en-US" altLang="en-US" sz="1200" b="0" i="0" u="none" strike="noStrike" spc="910" baseline="0">
            <a:solidFill>
              <a:srgbClr val="000000"/>
            </a:solidFill>
            <a:latin typeface="OCRB" panose="020B0609020202020204" pitchFamily="49" charset="0"/>
            <a:ea typeface="ＭＳ Ｐゴシック"/>
          </a:endParaRPr>
        </a:p>
      </xdr:txBody>
    </xdr:sp>
    <xdr:clientData/>
  </xdr:twoCellAnchor>
  <xdr:twoCellAnchor>
    <xdr:from>
      <xdr:col>2</xdr:col>
      <xdr:colOff>422409</xdr:colOff>
      <xdr:row>20</xdr:row>
      <xdr:rowOff>41275</xdr:rowOff>
    </xdr:from>
    <xdr:to>
      <xdr:col>3</xdr:col>
      <xdr:colOff>546647</xdr:colOff>
      <xdr:row>22</xdr:row>
      <xdr:rowOff>8283</xdr:rowOff>
    </xdr:to>
    <xdr:sp macro="" textlink="計算シート!Z3">
      <xdr:nvSpPr>
        <xdr:cNvPr id="343" name="テキスト ボックス 342">
          <a:extLst>
            <a:ext uri="{FF2B5EF4-FFF2-40B4-BE49-F238E27FC236}">
              <a16:creationId xmlns:a16="http://schemas.microsoft.com/office/drawing/2014/main" id="{00000000-0008-0000-0A00-000057010000}"/>
            </a:ext>
          </a:extLst>
        </xdr:cNvPr>
        <xdr:cNvSpPr txBox="1"/>
      </xdr:nvSpPr>
      <xdr:spPr>
        <a:xfrm>
          <a:off x="1797322" y="3519971"/>
          <a:ext cx="811695" cy="314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fld id="{4FE58C7C-BD0B-43C3-B6AC-864B57FB3655}" type="TxLink">
            <a:rPr kumimoji="1" lang="en-US" altLang="en-US" sz="1200" b="0" i="0" u="none" strike="noStrike" spc="910" baseline="0">
              <a:solidFill>
                <a:srgbClr val="000000"/>
              </a:solidFill>
              <a:latin typeface="OCRB" panose="020B0609020202020204" pitchFamily="49" charset="0"/>
              <a:ea typeface="ＭＳ Ｐゴシック"/>
            </a:rPr>
            <a:pPr/>
            <a:t>    </a:t>
          </a:fld>
          <a:endParaRPr kumimoji="1" lang="en-US" altLang="en-US" sz="1200" b="0" i="0" u="none" strike="noStrike" spc="910" baseline="0">
            <a:solidFill>
              <a:srgbClr val="000000"/>
            </a:solidFill>
            <a:latin typeface="OCRB" panose="020B0609020202020204" pitchFamily="49" charset="0"/>
            <a:ea typeface="ＭＳ Ｐゴシック"/>
          </a:endParaRPr>
        </a:p>
      </xdr:txBody>
    </xdr:sp>
    <xdr:clientData/>
  </xdr:twoCellAnchor>
  <xdr:twoCellAnchor editAs="oneCell">
    <xdr:from>
      <xdr:col>1</xdr:col>
      <xdr:colOff>142875</xdr:colOff>
      <xdr:row>3</xdr:row>
      <xdr:rowOff>114300</xdr:rowOff>
    </xdr:from>
    <xdr:to>
      <xdr:col>1</xdr:col>
      <xdr:colOff>647700</xdr:colOff>
      <xdr:row>5</xdr:row>
      <xdr:rowOff>104775</xdr:rowOff>
    </xdr:to>
    <xdr:pic>
      <xdr:nvPicPr>
        <xdr:cNvPr id="345" name="図 344">
          <a:extLst>
            <a:ext uri="{FF2B5EF4-FFF2-40B4-BE49-F238E27FC236}">
              <a16:creationId xmlns:a16="http://schemas.microsoft.com/office/drawing/2014/main" id="{00000000-0008-0000-0A00-00005901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28675" y="628650"/>
          <a:ext cx="5048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69</xdr:row>
      <xdr:rowOff>76200</xdr:rowOff>
    </xdr:from>
    <xdr:to>
      <xdr:col>1</xdr:col>
      <xdr:colOff>600075</xdr:colOff>
      <xdr:row>71</xdr:row>
      <xdr:rowOff>66675</xdr:rowOff>
    </xdr:to>
    <xdr:pic>
      <xdr:nvPicPr>
        <xdr:cNvPr id="346" name="図 345">
          <a:extLst>
            <a:ext uri="{FF2B5EF4-FFF2-40B4-BE49-F238E27FC236}">
              <a16:creationId xmlns:a16="http://schemas.microsoft.com/office/drawing/2014/main" id="{00000000-0008-0000-0A00-00005A01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1050" y="11906250"/>
          <a:ext cx="5048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135</xdr:row>
      <xdr:rowOff>38100</xdr:rowOff>
    </xdr:from>
    <xdr:to>
      <xdr:col>1</xdr:col>
      <xdr:colOff>590550</xdr:colOff>
      <xdr:row>137</xdr:row>
      <xdr:rowOff>28575</xdr:rowOff>
    </xdr:to>
    <xdr:pic>
      <xdr:nvPicPr>
        <xdr:cNvPr id="347" name="図 346">
          <a:extLst>
            <a:ext uri="{FF2B5EF4-FFF2-40B4-BE49-F238E27FC236}">
              <a16:creationId xmlns:a16="http://schemas.microsoft.com/office/drawing/2014/main" id="{00000000-0008-0000-0A00-00005B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71525" y="23183850"/>
          <a:ext cx="504825" cy="333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303609</xdr:colOff>
      <xdr:row>23</xdr:row>
      <xdr:rowOff>102005</xdr:rowOff>
    </xdr:from>
    <xdr:to>
      <xdr:col>10</xdr:col>
      <xdr:colOff>602455</xdr:colOff>
      <xdr:row>26</xdr:row>
      <xdr:rowOff>35719</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2"/>
        <a:srcRect l="62844" t="58725" r="9156" b="31803"/>
        <a:stretch/>
      </xdr:blipFill>
      <xdr:spPr>
        <a:xfrm>
          <a:off x="5095875" y="4072739"/>
          <a:ext cx="2352674" cy="451636"/>
        </a:xfrm>
        <a:prstGeom prst="rect">
          <a:avLst/>
        </a:prstGeom>
      </xdr:spPr>
    </xdr:pic>
    <xdr:clientData/>
  </xdr:twoCellAnchor>
  <xdr:twoCellAnchor>
    <xdr:from>
      <xdr:col>1</xdr:col>
      <xdr:colOff>108440</xdr:colOff>
      <xdr:row>26</xdr:row>
      <xdr:rowOff>69207</xdr:rowOff>
    </xdr:from>
    <xdr:to>
      <xdr:col>2</xdr:col>
      <xdr:colOff>69607</xdr:colOff>
      <xdr:row>27</xdr:row>
      <xdr:rowOff>143178</xdr:rowOff>
    </xdr:to>
    <xdr:sp macro="" textlink="基本情報!L3">
      <xdr:nvSpPr>
        <xdr:cNvPr id="349" name="テキスト ボックス 348">
          <a:extLst>
            <a:ext uri="{FF2B5EF4-FFF2-40B4-BE49-F238E27FC236}">
              <a16:creationId xmlns:a16="http://schemas.microsoft.com/office/drawing/2014/main" id="{00000000-0008-0000-0A00-00005D010000}"/>
            </a:ext>
          </a:extLst>
        </xdr:cNvPr>
        <xdr:cNvSpPr txBox="1"/>
      </xdr:nvSpPr>
      <xdr:spPr>
        <a:xfrm>
          <a:off x="793049" y="4557863"/>
          <a:ext cx="645777" cy="246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E7ACF692-0B54-4B3F-B2FC-EA8C9A3083C4}" type="TxLink">
            <a:rPr kumimoji="1" lang="en-US" altLang="en-US" sz="1050" b="0" i="0" u="none" strike="noStrike" spc="910" baseline="0">
              <a:solidFill>
                <a:srgbClr val="000000"/>
              </a:solidFill>
              <a:latin typeface="OCRB" panose="020B0609020202020204" pitchFamily="49" charset="0"/>
              <a:ea typeface="ＭＳ Ｐゴシック"/>
            </a:rPr>
            <a:pPr algn="r"/>
            <a:t> </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clientData/>
  </xdr:twoCellAnchor>
  <xdr:twoCellAnchor>
    <xdr:from>
      <xdr:col>8</xdr:col>
      <xdr:colOff>22715</xdr:colOff>
      <xdr:row>24</xdr:row>
      <xdr:rowOff>19200</xdr:rowOff>
    </xdr:from>
    <xdr:to>
      <xdr:col>8</xdr:col>
      <xdr:colOff>668492</xdr:colOff>
      <xdr:row>25</xdr:row>
      <xdr:rowOff>93171</xdr:rowOff>
    </xdr:to>
    <xdr:sp macro="" textlink="基本情報!L29">
      <xdr:nvSpPr>
        <xdr:cNvPr id="350" name="テキスト ボックス 349">
          <a:extLst>
            <a:ext uri="{FF2B5EF4-FFF2-40B4-BE49-F238E27FC236}">
              <a16:creationId xmlns:a16="http://schemas.microsoft.com/office/drawing/2014/main" id="{00000000-0008-0000-0A00-00005E010000}"/>
            </a:ext>
          </a:extLst>
        </xdr:cNvPr>
        <xdr:cNvSpPr txBox="1"/>
      </xdr:nvSpPr>
      <xdr:spPr>
        <a:xfrm>
          <a:off x="5499590" y="4162575"/>
          <a:ext cx="645777" cy="246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spcCol="0" rtlCol="0" anchor="ctr" anchorCtr="0"/>
        <a:lstStyle/>
        <a:p>
          <a:pPr algn="r"/>
          <a:fld id="{4DCEF553-DFB7-473B-A297-E49A791A0EF5}" type="TxLink">
            <a:rPr kumimoji="1" lang="en-US" altLang="en-US" sz="1050" b="0" i="0" u="none" strike="noStrike" spc="910" baseline="0">
              <a:solidFill>
                <a:srgbClr val="000000"/>
              </a:solidFill>
              <a:latin typeface="OCRB" panose="020B0609020202020204" pitchFamily="49" charset="0"/>
              <a:ea typeface="ＭＳ Ｐゴシック"/>
            </a:rPr>
            <a:pPr algn="r"/>
            <a:t>1</a:t>
          </a:fld>
          <a:endParaRPr kumimoji="1" lang="en-US" altLang="en-US" sz="1050" b="0" i="0" u="none" strike="noStrike" spc="910" baseline="0">
            <a:solidFill>
              <a:srgbClr val="000000"/>
            </a:solidFill>
            <a:latin typeface="OCRB" panose="020B0609020202020204" pitchFamily="49" charset="0"/>
            <a:ea typeface="ＭＳ Ｐゴシック"/>
          </a:endParaRPr>
        </a:p>
      </xdr:txBody>
    </xdr:sp>
    <xdr:clientData/>
  </xdr:twoCellAnchor>
  <xdr:twoCellAnchor editAs="oneCell">
    <xdr:from>
      <xdr:col>2</xdr:col>
      <xdr:colOff>196454</xdr:colOff>
      <xdr:row>26</xdr:row>
      <xdr:rowOff>37558</xdr:rowOff>
    </xdr:from>
    <xdr:to>
      <xdr:col>10</xdr:col>
      <xdr:colOff>386953</xdr:colOff>
      <xdr:row>28</xdr:row>
      <xdr:rowOff>47819</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1"/>
        <a:srcRect l="1693" t="68862" r="-11961" b="18157"/>
        <a:stretch/>
      </xdr:blipFill>
      <xdr:spPr>
        <a:xfrm>
          <a:off x="1565673" y="4526214"/>
          <a:ext cx="5667374" cy="355543"/>
        </a:xfrm>
        <a:prstGeom prst="rect">
          <a:avLst/>
        </a:prstGeom>
        <a:solidFill>
          <a:schemeClr val="bg1"/>
        </a:solid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50</xdr:row>
      <xdr:rowOff>95250</xdr:rowOff>
    </xdr:from>
    <xdr:to>
      <xdr:col>10</xdr:col>
      <xdr:colOff>62865</xdr:colOff>
      <xdr:row>86</xdr:row>
      <xdr:rowOff>114300</xdr:rowOff>
    </xdr:to>
    <xdr:pic>
      <xdr:nvPicPr>
        <xdr:cNvPr id="2" name="Picture 6">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r="50562" b="19777"/>
        <a:stretch>
          <a:fillRect/>
        </a:stretch>
      </xdr:blipFill>
      <xdr:spPr bwMode="auto">
        <a:xfrm>
          <a:off x="0" y="9667875"/>
          <a:ext cx="7534275" cy="6877050"/>
        </a:xfrm>
        <a:prstGeom prst="rect">
          <a:avLst/>
        </a:prstGeom>
        <a:noFill/>
      </xdr:spPr>
    </xdr:pic>
    <xdr:clientData/>
  </xdr:twoCellAnchor>
  <xdr:twoCellAnchor editAs="oneCell">
    <xdr:from>
      <xdr:col>11</xdr:col>
      <xdr:colOff>0</xdr:colOff>
      <xdr:row>50</xdr:row>
      <xdr:rowOff>95250</xdr:rowOff>
    </xdr:from>
    <xdr:to>
      <xdr:col>27</xdr:col>
      <xdr:colOff>552450</xdr:colOff>
      <xdr:row>86</xdr:row>
      <xdr:rowOff>123825</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rcRect r="24375" b="19666"/>
        <a:stretch>
          <a:fillRect/>
        </a:stretch>
      </xdr:blipFill>
      <xdr:spPr bwMode="auto">
        <a:xfrm>
          <a:off x="7867650" y="9667875"/>
          <a:ext cx="11525250" cy="6886575"/>
        </a:xfrm>
        <a:prstGeom prst="rect">
          <a:avLst/>
        </a:prstGeom>
        <a:noFill/>
      </xdr:spPr>
    </xdr:pic>
    <xdr:clientData/>
  </xdr:twoCellAnchor>
  <xdr:twoCellAnchor editAs="oneCell">
    <xdr:from>
      <xdr:col>28</xdr:col>
      <xdr:colOff>0</xdr:colOff>
      <xdr:row>50</xdr:row>
      <xdr:rowOff>95250</xdr:rowOff>
    </xdr:from>
    <xdr:to>
      <xdr:col>44</xdr:col>
      <xdr:colOff>609600</xdr:colOff>
      <xdr:row>86</xdr:row>
      <xdr:rowOff>123825</xdr:rowOff>
    </xdr:to>
    <xdr:pic>
      <xdr:nvPicPr>
        <xdr:cNvPr id="4" name="Picture 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srcRect r="24000" b="19666"/>
        <a:stretch>
          <a:fillRect/>
        </a:stretch>
      </xdr:blipFill>
      <xdr:spPr bwMode="auto">
        <a:xfrm>
          <a:off x="19526250" y="9667875"/>
          <a:ext cx="11582400" cy="6886575"/>
        </a:xfrm>
        <a:prstGeom prst="rect">
          <a:avLst/>
        </a:prstGeom>
        <a:noFill/>
      </xdr:spPr>
    </xdr:pic>
    <xdr:clientData/>
  </xdr:twoCellAnchor>
  <xdr:twoCellAnchor>
    <xdr:from>
      <xdr:col>1</xdr:col>
      <xdr:colOff>47624</xdr:colOff>
      <xdr:row>57</xdr:row>
      <xdr:rowOff>152400</xdr:rowOff>
    </xdr:from>
    <xdr:to>
      <xdr:col>8</xdr:col>
      <xdr:colOff>464819</xdr:colOff>
      <xdr:row>60</xdr:row>
      <xdr:rowOff>28575</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893444" y="11064240"/>
          <a:ext cx="509587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①矢印の位置で右クリックをし，コピーを選択してください。</a:t>
          </a:r>
        </a:p>
      </xdr:txBody>
    </xdr:sp>
    <xdr:clientData/>
  </xdr:twoCellAnchor>
  <xdr:twoCellAnchor>
    <xdr:from>
      <xdr:col>0</xdr:col>
      <xdr:colOff>161925</xdr:colOff>
      <xdr:row>58</xdr:row>
      <xdr:rowOff>171450</xdr:rowOff>
    </xdr:from>
    <xdr:to>
      <xdr:col>0</xdr:col>
      <xdr:colOff>581025</xdr:colOff>
      <xdr:row>61</xdr:row>
      <xdr:rowOff>114300</xdr:rowOff>
    </xdr:to>
    <xdr:sp macro="" textlink="">
      <xdr:nvSpPr>
        <xdr:cNvPr id="6" name="下矢印 5">
          <a:extLst>
            <a:ext uri="{FF2B5EF4-FFF2-40B4-BE49-F238E27FC236}">
              <a16:creationId xmlns:a16="http://schemas.microsoft.com/office/drawing/2014/main" id="{00000000-0008-0000-0C00-000006000000}"/>
            </a:ext>
          </a:extLst>
        </xdr:cNvPr>
        <xdr:cNvSpPr/>
      </xdr:nvSpPr>
      <xdr:spPr>
        <a:xfrm rot="7860000">
          <a:off x="114300" y="11315700"/>
          <a:ext cx="514350" cy="419100"/>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15</xdr:col>
      <xdr:colOff>95249</xdr:colOff>
      <xdr:row>57</xdr:row>
      <xdr:rowOff>152400</xdr:rowOff>
    </xdr:from>
    <xdr:to>
      <xdr:col>24</xdr:col>
      <xdr:colOff>95250</xdr:colOff>
      <xdr:row>60</xdr:row>
      <xdr:rowOff>28575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10706099" y="11058525"/>
          <a:ext cx="6172201"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②</a:t>
          </a:r>
          <a:r>
            <a:rPr kumimoji="1" lang="en-US" altLang="ja-JP" sz="1600" b="1">
              <a:solidFill>
                <a:srgbClr val="FF0000"/>
              </a:solidFill>
            </a:rPr>
            <a:t>Word</a:t>
          </a:r>
          <a:r>
            <a:rPr kumimoji="1" lang="ja-JP" altLang="en-US" sz="1600" b="1">
              <a:solidFill>
                <a:srgbClr val="FF0000"/>
              </a:solidFill>
            </a:rPr>
            <a:t>を開いて，右クリックをし，貼り付けを選択してください。</a:t>
          </a:r>
        </a:p>
      </xdr:txBody>
    </xdr:sp>
    <xdr:clientData/>
  </xdr:twoCellAnchor>
  <xdr:twoCellAnchor>
    <xdr:from>
      <xdr:col>30</xdr:col>
      <xdr:colOff>619125</xdr:colOff>
      <xdr:row>57</xdr:row>
      <xdr:rowOff>152400</xdr:rowOff>
    </xdr:from>
    <xdr:to>
      <xdr:col>44</xdr:col>
      <xdr:colOff>247650</xdr:colOff>
      <xdr:row>60</xdr:row>
      <xdr:rowOff>28575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21516975" y="11058525"/>
          <a:ext cx="922972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600" b="1">
              <a:solidFill>
                <a:srgbClr val="FF0000"/>
              </a:solidFill>
            </a:rPr>
            <a:t>③「</a:t>
          </a:r>
          <a:r>
            <a:rPr kumimoji="1" lang="en-US" altLang="ja-JP" sz="1600" b="1">
              <a:solidFill>
                <a:srgbClr val="FF0000"/>
              </a:solidFill>
            </a:rPr>
            <a:t>F7</a:t>
          </a:r>
          <a:r>
            <a:rPr kumimoji="1" lang="ja-JP" altLang="en-US" sz="1600" b="1">
              <a:solidFill>
                <a:srgbClr val="FF0000"/>
              </a:solidFill>
            </a:rPr>
            <a:t>」ボタンを押して文章校正をかけ，必要に応じて黄色シートの該当箇所を訂正してください。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ctrlProp" Target="../ctrlProps/ctrlProp10.x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66"/>
  </sheetPr>
  <dimension ref="A1:AB50"/>
  <sheetViews>
    <sheetView showGridLines="0" tabSelected="1" zoomScale="115" zoomScaleNormal="115" workbookViewId="0">
      <selection activeCell="D13" sqref="D13"/>
    </sheetView>
  </sheetViews>
  <sheetFormatPr defaultColWidth="9" defaultRowHeight="16.149999999999999" x14ac:dyDescent="0.25"/>
  <cols>
    <col min="1" max="1" width="29" style="153" customWidth="1"/>
    <col min="2" max="2" width="14.6640625" style="153" bestFit="1" customWidth="1"/>
    <col min="3" max="9" width="9" style="153"/>
    <col min="10" max="10" width="9" style="84"/>
    <col min="11" max="11" width="31.6640625" style="84" customWidth="1"/>
    <col min="12" max="12" width="15.46484375" style="84" bestFit="1" customWidth="1"/>
    <col min="13" max="16384" width="9" style="84"/>
  </cols>
  <sheetData>
    <row r="1" spans="1:28" ht="16.5" thickBot="1" x14ac:dyDescent="0.3"/>
    <row r="2" spans="1:28" ht="27" customHeight="1" thickBot="1" x14ac:dyDescent="0.3">
      <c r="A2" s="154" t="s">
        <v>0</v>
      </c>
      <c r="B2" s="88"/>
      <c r="C2" s="155"/>
      <c r="D2" s="156"/>
      <c r="K2" s="157" t="s">
        <v>320</v>
      </c>
      <c r="L2" s="90"/>
      <c r="M2" s="159" t="str">
        <f>IF(L2="","",VLOOKUP(L2,計算シート!$A$45:$B$47,2,FALSE))</f>
        <v/>
      </c>
      <c r="N2" s="153" t="s">
        <v>414</v>
      </c>
      <c r="O2" s="153"/>
      <c r="P2" s="153"/>
      <c r="Q2" s="153"/>
      <c r="R2" s="153"/>
      <c r="S2" s="153"/>
      <c r="V2" s="84" t="s">
        <v>332</v>
      </c>
      <c r="AB2" s="84" t="str">
        <f>IF(計算シート!$M$78=0,"",計算シート!$M$78&amp;"/48　特記入力済み")</f>
        <v/>
      </c>
    </row>
    <row r="3" spans="1:28" ht="27" customHeight="1" thickBot="1" x14ac:dyDescent="0.3">
      <c r="A3" s="153" t="s">
        <v>416</v>
      </c>
      <c r="B3" s="90"/>
      <c r="K3" s="192" t="s">
        <v>446</v>
      </c>
      <c r="L3" s="194"/>
      <c r="M3" s="155" t="str">
        <f>IF(OR(AND(L2&lt;&gt;1,L3="老人福祉施設"),AND(L2&lt;&gt;1,L3="老人保健施設"),AND(L2&lt;&gt;1,L3="療養型医療施設"),AND(L2=3,L3&lt;&gt;"")),"介護度と矛盾します！！","")</f>
        <v/>
      </c>
      <c r="N3" s="153"/>
      <c r="O3" s="165" t="s">
        <v>415</v>
      </c>
      <c r="P3" s="153"/>
      <c r="Q3" s="153"/>
      <c r="R3" s="153"/>
      <c r="S3" s="153"/>
      <c r="V3" s="195"/>
      <c r="W3" s="196"/>
      <c r="X3" s="196"/>
      <c r="Y3" s="196"/>
      <c r="Z3" s="196"/>
      <c r="AA3" s="197"/>
      <c r="AB3" s="84" t="str">
        <f>IF(V3="","",LEN(V3)&amp;"/240　文字")</f>
        <v/>
      </c>
    </row>
    <row r="4" spans="1:28" ht="27" customHeight="1" thickBot="1" x14ac:dyDescent="0.3">
      <c r="A4" s="160" t="s">
        <v>318</v>
      </c>
      <c r="B4" s="90"/>
      <c r="C4" s="159" t="str">
        <f>IF(B4="","",VLOOKUP(B4,計算シート!$A$30:$B$31,2,FALSE))</f>
        <v/>
      </c>
      <c r="D4" s="155" t="str">
        <f>IF(OR(AND($B$5=1,$D$5&gt;45),AND($B$5=2,$D$5&gt;15),AND($B$5=3,$D$5&gt;64)),"元号と矛盾します！！","")</f>
        <v/>
      </c>
      <c r="K4" s="154" t="s">
        <v>2</v>
      </c>
      <c r="L4" s="91"/>
      <c r="M4" s="155" t="str">
        <f>IF(OR(AND($L$2="",L4&lt;&gt;""),AND($L$2=3,L4&lt;&gt;"")),"介護度と矛盾します！！","")</f>
        <v/>
      </c>
      <c r="N4" s="153"/>
      <c r="O4" s="153"/>
      <c r="P4" s="153"/>
      <c r="Q4" s="153"/>
      <c r="R4" s="153"/>
      <c r="S4" s="153"/>
      <c r="V4" s="198"/>
      <c r="W4" s="199"/>
      <c r="X4" s="199"/>
      <c r="Y4" s="199"/>
      <c r="Z4" s="199"/>
      <c r="AA4" s="200"/>
    </row>
    <row r="5" spans="1:28" ht="27" customHeight="1" thickBot="1" x14ac:dyDescent="0.3">
      <c r="A5" s="153" t="s">
        <v>319</v>
      </c>
      <c r="B5" s="89"/>
      <c r="C5" s="159" t="str">
        <f>IF(B5="","",VLOOKUP(B5,計算シート!$A$34:$B$38,2,FALSE))</f>
        <v/>
      </c>
      <c r="D5" s="92"/>
      <c r="E5" s="153" t="s">
        <v>298</v>
      </c>
      <c r="F5" s="92"/>
      <c r="G5" s="153" t="s">
        <v>299</v>
      </c>
      <c r="H5" s="92"/>
      <c r="I5" s="153" t="s">
        <v>9</v>
      </c>
      <c r="K5" s="154" t="s">
        <v>3</v>
      </c>
      <c r="L5" s="91"/>
      <c r="M5" s="155" t="str">
        <f>IF(OR(AND($L$2="",L5&lt;&gt;""),AND($L$2=3,L5&lt;&gt;"")),"介護度と矛盾します！！","")</f>
        <v/>
      </c>
      <c r="N5" s="153"/>
      <c r="O5" s="153"/>
      <c r="P5" s="153"/>
      <c r="Q5" s="153"/>
      <c r="R5" s="153"/>
      <c r="S5" s="153"/>
      <c r="V5" s="198"/>
      <c r="W5" s="199"/>
      <c r="X5" s="199"/>
      <c r="Y5" s="199"/>
      <c r="Z5" s="199"/>
      <c r="AA5" s="200"/>
    </row>
    <row r="6" spans="1:28" ht="27" customHeight="1" thickBot="1" x14ac:dyDescent="0.3">
      <c r="A6" s="160" t="s">
        <v>440</v>
      </c>
      <c r="B6" s="209"/>
      <c r="C6" s="210"/>
      <c r="D6" s="211"/>
      <c r="K6" s="154" t="s">
        <v>4</v>
      </c>
      <c r="L6" s="91"/>
      <c r="M6" s="155" t="str">
        <f>IF(OR(AND($L$2="",L6&lt;&gt;""),AND($L$2=3,L6&lt;&gt;"")),"介護度と矛盾します！！","")</f>
        <v/>
      </c>
      <c r="N6" s="153"/>
      <c r="O6" s="153"/>
      <c r="P6" s="153"/>
      <c r="Q6" s="153"/>
      <c r="R6" s="153"/>
      <c r="S6" s="153"/>
      <c r="V6" s="198"/>
      <c r="W6" s="199"/>
      <c r="X6" s="199"/>
      <c r="Y6" s="199"/>
      <c r="Z6" s="199"/>
      <c r="AA6" s="200"/>
    </row>
    <row r="7" spans="1:28" ht="27" customHeight="1" thickBot="1" x14ac:dyDescent="0.3">
      <c r="A7" s="160" t="s">
        <v>444</v>
      </c>
      <c r="B7" s="90"/>
      <c r="K7" s="154" t="s">
        <v>321</v>
      </c>
      <c r="L7" s="91"/>
      <c r="M7" s="155" t="str">
        <f>IF(AND($L$2&lt;&gt;1,L7&lt;&gt;""),"介護度と矛盾します！！","")</f>
        <v/>
      </c>
      <c r="N7" s="153"/>
      <c r="O7" s="153"/>
      <c r="P7" s="153"/>
      <c r="Q7" s="153"/>
      <c r="R7" s="153"/>
      <c r="S7" s="153"/>
      <c r="V7" s="198"/>
      <c r="W7" s="199"/>
      <c r="X7" s="199"/>
      <c r="Y7" s="199"/>
      <c r="Z7" s="199"/>
      <c r="AA7" s="200"/>
    </row>
    <row r="8" spans="1:28" ht="27" customHeight="1" thickBot="1" x14ac:dyDescent="0.3">
      <c r="A8" s="160" t="s">
        <v>443</v>
      </c>
      <c r="B8" s="90"/>
      <c r="K8" s="154" t="s">
        <v>322</v>
      </c>
      <c r="L8" s="91"/>
      <c r="M8" s="155" t="str">
        <f>IF(AND($L$2&lt;&gt;1,L8&lt;&gt;""),"介護度と矛盾します！！","")</f>
        <v/>
      </c>
      <c r="N8" s="153"/>
      <c r="O8" s="153"/>
      <c r="P8" s="153"/>
      <c r="Q8" s="153"/>
      <c r="R8" s="153"/>
      <c r="S8" s="153"/>
      <c r="V8" s="198"/>
      <c r="W8" s="199"/>
      <c r="X8" s="199"/>
      <c r="Y8" s="199"/>
      <c r="Z8" s="199"/>
      <c r="AA8" s="200"/>
    </row>
    <row r="9" spans="1:28" ht="27" customHeight="1" thickBot="1" x14ac:dyDescent="0.3">
      <c r="A9" s="160" t="s">
        <v>438</v>
      </c>
      <c r="B9" s="90"/>
      <c r="K9" s="154" t="s">
        <v>323</v>
      </c>
      <c r="L9" s="91"/>
      <c r="M9" s="155" t="str">
        <f>IF(AND($L$2&lt;&gt;1,L9&lt;&gt;""),"介護度と矛盾します！！","")</f>
        <v/>
      </c>
      <c r="N9" s="153"/>
      <c r="O9" s="153"/>
      <c r="P9" s="153"/>
      <c r="Q9" s="153"/>
      <c r="R9" s="153"/>
      <c r="S9" s="153"/>
      <c r="V9" s="198"/>
      <c r="W9" s="199"/>
      <c r="X9" s="199"/>
      <c r="Y9" s="199"/>
      <c r="Z9" s="199"/>
      <c r="AA9" s="200"/>
    </row>
    <row r="10" spans="1:28" ht="27" customHeight="1" thickBot="1" x14ac:dyDescent="0.3">
      <c r="A10" s="153" t="s">
        <v>441</v>
      </c>
      <c r="B10" s="90"/>
      <c r="K10" s="154" t="s">
        <v>5</v>
      </c>
      <c r="L10" s="91"/>
      <c r="M10" s="155" t="str">
        <f>IF(OR(AND($L$2="",L10&lt;&gt;""),AND($L$2=3,L10&lt;&gt;"")),"介護度と矛盾します！！","")</f>
        <v/>
      </c>
      <c r="N10" s="153"/>
      <c r="O10" s="153"/>
      <c r="P10" s="153"/>
      <c r="Q10" s="153"/>
      <c r="R10" s="153"/>
      <c r="S10" s="153"/>
      <c r="V10" s="201"/>
      <c r="W10" s="202"/>
      <c r="X10" s="202"/>
      <c r="Y10" s="202"/>
      <c r="Z10" s="202"/>
      <c r="AA10" s="203"/>
    </row>
    <row r="11" spans="1:28" ht="27" customHeight="1" thickBot="1" x14ac:dyDescent="0.3">
      <c r="A11" s="160" t="s">
        <v>442</v>
      </c>
      <c r="B11" s="209"/>
      <c r="C11" s="210"/>
      <c r="D11" s="211"/>
      <c r="K11" s="154" t="s">
        <v>6</v>
      </c>
      <c r="L11" s="91"/>
      <c r="M11" s="155" t="str">
        <f>IF(OR(AND($L$2="",L11&lt;&gt;""),AND($L$2=3,L11&lt;&gt;"")),"介護度と矛盾します！！","")</f>
        <v/>
      </c>
      <c r="N11" s="153"/>
      <c r="O11" s="153"/>
      <c r="P11" s="153"/>
      <c r="Q11" s="153"/>
      <c r="R11" s="153"/>
      <c r="S11" s="153"/>
    </row>
    <row r="12" spans="1:28" ht="27" customHeight="1" thickBot="1" x14ac:dyDescent="0.3">
      <c r="A12" s="160" t="s">
        <v>445</v>
      </c>
      <c r="B12" s="90"/>
      <c r="C12" s="191"/>
      <c r="D12" s="191"/>
      <c r="K12" s="154" t="s">
        <v>7</v>
      </c>
      <c r="L12" s="91"/>
      <c r="M12" s="155" t="str">
        <f>IF(OR(AND($L$2="",L12&lt;&gt;""),AND($L$2=3,L12&lt;&gt;"")),"介護度と矛盾します！！","")</f>
        <v/>
      </c>
      <c r="N12" s="153"/>
      <c r="O12" s="153"/>
      <c r="P12" s="153"/>
      <c r="Q12" s="153"/>
      <c r="R12" s="153"/>
      <c r="S12" s="153"/>
      <c r="V12" s="84" t="s">
        <v>333</v>
      </c>
    </row>
    <row r="13" spans="1:28" ht="27" customHeight="1" thickBot="1" x14ac:dyDescent="0.3">
      <c r="A13" s="160" t="s">
        <v>439</v>
      </c>
      <c r="B13" s="90"/>
      <c r="D13" s="155" t="str">
        <f>IF(D14="","",IF(AND($B$14=4,$D$14&lt;=28),"元号と矛盾します！！",""))</f>
        <v/>
      </c>
      <c r="K13" s="154" t="s">
        <v>8</v>
      </c>
      <c r="L13" s="91"/>
      <c r="M13" s="155" t="str">
        <f>IF(OR(AND($L$2="",L13&lt;&gt;""),AND($L$2=3,L13&lt;&gt;"")),"介護度と矛盾します！！","")</f>
        <v/>
      </c>
      <c r="N13" s="153"/>
      <c r="O13" s="153"/>
      <c r="P13" s="153"/>
      <c r="Q13" s="153"/>
      <c r="R13" s="153"/>
      <c r="S13" s="153"/>
      <c r="V13" s="195"/>
      <c r="W13" s="196"/>
      <c r="X13" s="196"/>
      <c r="Y13" s="196"/>
      <c r="Z13" s="196"/>
      <c r="AA13" s="197"/>
      <c r="AB13" s="84" t="str">
        <f>IF(V13="","",LEN(V13)&amp;"/240　文字")</f>
        <v/>
      </c>
    </row>
    <row r="14" spans="1:28" ht="27" customHeight="1" thickBot="1" x14ac:dyDescent="0.3">
      <c r="A14" s="160" t="s">
        <v>434</v>
      </c>
      <c r="B14" s="158">
        <v>5</v>
      </c>
      <c r="C14" s="159" t="str">
        <f>IF(B14="","",VLOOKUP(B14,計算シート!$A$34:$B$38,2,FALSE))</f>
        <v>令和</v>
      </c>
      <c r="D14" s="92"/>
      <c r="E14" s="153" t="s">
        <v>298</v>
      </c>
      <c r="F14" s="92"/>
      <c r="G14" s="153" t="s">
        <v>299</v>
      </c>
      <c r="H14" s="92"/>
      <c r="I14" s="153" t="s">
        <v>9</v>
      </c>
      <c r="K14" s="154" t="s">
        <v>324</v>
      </c>
      <c r="L14" s="91"/>
      <c r="M14" s="155" t="str">
        <f>IF(AND($L$2&lt;&gt;1,L14&lt;&gt;""),"介護度と矛盾します！！","")</f>
        <v/>
      </c>
      <c r="N14" s="153"/>
      <c r="O14" s="153"/>
      <c r="P14" s="153"/>
      <c r="Q14" s="153"/>
      <c r="R14" s="153"/>
      <c r="S14" s="153"/>
      <c r="V14" s="198"/>
      <c r="W14" s="199"/>
      <c r="X14" s="199"/>
      <c r="Y14" s="199"/>
      <c r="Z14" s="199"/>
      <c r="AA14" s="200"/>
    </row>
    <row r="15" spans="1:28" ht="27" customHeight="1" thickBot="1" x14ac:dyDescent="0.3">
      <c r="A15" s="153" t="s">
        <v>384</v>
      </c>
      <c r="B15" s="90"/>
      <c r="C15" s="153" t="s">
        <v>436</v>
      </c>
      <c r="D15" s="187" t="s">
        <v>448</v>
      </c>
      <c r="K15" s="154" t="s">
        <v>325</v>
      </c>
      <c r="L15" s="91"/>
      <c r="M15" s="155" t="str">
        <f>IF(AND($L$2&lt;&gt;1,L15&lt;&gt;""),"介護度と矛盾します！！","")</f>
        <v/>
      </c>
      <c r="N15" s="153"/>
      <c r="O15" s="153"/>
      <c r="P15" s="153"/>
      <c r="Q15" s="153"/>
      <c r="R15" s="153"/>
      <c r="S15" s="153"/>
      <c r="V15" s="198"/>
      <c r="W15" s="199"/>
      <c r="X15" s="199"/>
      <c r="Y15" s="199"/>
      <c r="Z15" s="199"/>
      <c r="AA15" s="200"/>
    </row>
    <row r="16" spans="1:28" ht="27" customHeight="1" thickBot="1" x14ac:dyDescent="0.3">
      <c r="A16" s="153" t="s">
        <v>1</v>
      </c>
      <c r="B16" s="204"/>
      <c r="C16" s="205"/>
      <c r="D16" s="206"/>
      <c r="K16" s="154" t="s">
        <v>10</v>
      </c>
      <c r="L16" s="91"/>
      <c r="M16" s="155" t="str">
        <f>IF(OR(AND($L$2="",L16&lt;&gt;""),AND($L$2=3,L16&lt;&gt;"")),"介護度と矛盾します！！","")</f>
        <v/>
      </c>
      <c r="N16" s="153"/>
      <c r="O16" s="153"/>
      <c r="P16" s="153"/>
      <c r="Q16" s="153"/>
      <c r="R16" s="153"/>
      <c r="S16" s="153"/>
      <c r="V16" s="198"/>
      <c r="W16" s="199"/>
      <c r="X16" s="199"/>
      <c r="Y16" s="199"/>
      <c r="Z16" s="199"/>
      <c r="AA16" s="200"/>
    </row>
    <row r="17" spans="1:28" ht="27" customHeight="1" thickBot="1" x14ac:dyDescent="0.3">
      <c r="A17" s="153" t="s">
        <v>409</v>
      </c>
      <c r="B17" s="212"/>
      <c r="C17" s="213"/>
      <c r="D17" s="213"/>
      <c r="E17" s="213"/>
      <c r="F17" s="213"/>
      <c r="G17" s="213"/>
      <c r="H17" s="214"/>
      <c r="K17" s="154" t="s">
        <v>11</v>
      </c>
      <c r="L17" s="91"/>
      <c r="M17" s="155" t="str">
        <f>IF(OR(AND($L$2="",L17&lt;&gt;""),AND($L$2=3,L17&lt;&gt;"")),"介護度と矛盾します！！","")</f>
        <v/>
      </c>
      <c r="N17" s="153"/>
      <c r="O17" s="153"/>
      <c r="P17" s="153"/>
      <c r="Q17" s="153"/>
      <c r="R17" s="153"/>
      <c r="S17" s="153"/>
      <c r="V17" s="198"/>
      <c r="W17" s="199"/>
      <c r="X17" s="199"/>
      <c r="Y17" s="199"/>
      <c r="Z17" s="199"/>
      <c r="AA17" s="200"/>
    </row>
    <row r="18" spans="1:28" ht="27" customHeight="1" thickBot="1" x14ac:dyDescent="0.3">
      <c r="A18" s="169" t="s">
        <v>418</v>
      </c>
      <c r="B18" s="215"/>
      <c r="C18" s="216"/>
      <c r="D18" s="216"/>
      <c r="E18" s="216"/>
      <c r="F18" s="216"/>
      <c r="G18" s="216"/>
      <c r="H18" s="217"/>
      <c r="K18" s="154" t="s">
        <v>12</v>
      </c>
      <c r="L18" s="91"/>
      <c r="M18" s="155" t="str">
        <f>IF(OR(AND($L$2="",L18&lt;&gt;""),AND($L$2=3,L18&lt;&gt;"")),"介護度と矛盾します！！","")</f>
        <v/>
      </c>
      <c r="N18" s="153"/>
      <c r="O18" s="153"/>
      <c r="P18" s="153"/>
      <c r="Q18" s="153"/>
      <c r="R18" s="153"/>
      <c r="S18" s="153"/>
      <c r="V18" s="198"/>
      <c r="W18" s="199"/>
      <c r="X18" s="199"/>
      <c r="Y18" s="199"/>
      <c r="Z18" s="199"/>
      <c r="AA18" s="200"/>
    </row>
    <row r="19" spans="1:28" ht="27" customHeight="1" thickBot="1" x14ac:dyDescent="0.3">
      <c r="B19" s="218"/>
      <c r="C19" s="219"/>
      <c r="D19" s="219"/>
      <c r="E19" s="219"/>
      <c r="F19" s="219"/>
      <c r="G19" s="219"/>
      <c r="H19" s="220"/>
      <c r="K19" s="154" t="s">
        <v>13</v>
      </c>
      <c r="L19" s="91"/>
      <c r="M19" s="155" t="str">
        <f>IF(OR(AND($L$2="",L19&lt;&gt;""),AND($L$2=3,L19&lt;&gt;"")),"介護度と矛盾します！！","")</f>
        <v/>
      </c>
      <c r="N19" s="153"/>
      <c r="O19" s="153"/>
      <c r="P19" s="153"/>
      <c r="Q19" s="153"/>
      <c r="R19" s="153"/>
      <c r="S19" s="153"/>
      <c r="V19" s="198"/>
      <c r="W19" s="199"/>
      <c r="X19" s="199"/>
      <c r="Y19" s="199"/>
      <c r="Z19" s="199"/>
      <c r="AA19" s="200"/>
    </row>
    <row r="20" spans="1:28" ht="27" customHeight="1" thickBot="1" x14ac:dyDescent="0.3">
      <c r="K20" s="161" t="s">
        <v>410</v>
      </c>
      <c r="L20" s="91"/>
      <c r="M20" s="159" t="str">
        <f>IF(L20=1,"有","")</f>
        <v/>
      </c>
      <c r="N20" s="155" t="str">
        <f>IF(OR(AND($L$2="",L20&lt;&gt;""),AND($L$2=3,L20&lt;&gt;"")),"介護度と矛盾します！！","")</f>
        <v/>
      </c>
      <c r="O20" s="153"/>
      <c r="P20" s="153"/>
      <c r="Q20" s="153"/>
      <c r="R20" s="153"/>
      <c r="S20" s="153"/>
      <c r="V20" s="201"/>
      <c r="W20" s="202"/>
      <c r="X20" s="202"/>
      <c r="Y20" s="202"/>
      <c r="Z20" s="202"/>
      <c r="AA20" s="203"/>
    </row>
    <row r="21" spans="1:28" ht="27" customHeight="1" thickBot="1" x14ac:dyDescent="0.3">
      <c r="K21" s="154" t="s">
        <v>14</v>
      </c>
      <c r="L21" s="91"/>
      <c r="M21" s="155" t="str">
        <f>IF(OR(AND($L$2="",L21&lt;&gt;""),AND($L$2=3,L21&lt;&gt;"")),"介護度と矛盾します！！","")</f>
        <v/>
      </c>
      <c r="N21" s="153"/>
      <c r="O21" s="153"/>
      <c r="P21" s="153"/>
      <c r="Q21" s="153"/>
      <c r="R21" s="153"/>
      <c r="S21" s="153"/>
    </row>
    <row r="22" spans="1:28" ht="27" customHeight="1" thickBot="1" x14ac:dyDescent="0.3">
      <c r="K22" s="154" t="s">
        <v>15</v>
      </c>
      <c r="L22" s="91"/>
      <c r="M22" s="155" t="str">
        <f>IF(OR(AND($L$2="",L22&lt;&gt;""),AND($L$2=3,L22&lt;&gt;"")),"介護度と矛盾します！！","")</f>
        <v/>
      </c>
      <c r="N22" s="153"/>
      <c r="O22" s="153"/>
      <c r="P22" s="153"/>
      <c r="Q22" s="153"/>
      <c r="R22" s="153"/>
      <c r="S22" s="153"/>
      <c r="V22" s="84" t="s">
        <v>386</v>
      </c>
    </row>
    <row r="23" spans="1:28" ht="27" customHeight="1" thickBot="1" x14ac:dyDescent="0.3">
      <c r="K23" s="154" t="s">
        <v>16</v>
      </c>
      <c r="L23" s="91"/>
      <c r="M23" s="155" t="str">
        <f>IF(OR(AND($L$2="",L23&lt;&gt;""),AND($L$2=3,L23&lt;&gt;"")),"介護度と矛盾します！！","")</f>
        <v/>
      </c>
      <c r="N23" s="153"/>
      <c r="O23" s="153"/>
      <c r="P23" s="153"/>
      <c r="Q23" s="153"/>
      <c r="R23" s="153"/>
      <c r="S23" s="153"/>
      <c r="V23" s="195"/>
      <c r="W23" s="196"/>
      <c r="X23" s="196"/>
      <c r="Y23" s="196"/>
      <c r="Z23" s="196"/>
      <c r="AA23" s="197"/>
      <c r="AB23" s="84" t="str">
        <f>IF(V23="","",LEN(V23)&amp;"/240　文字")</f>
        <v/>
      </c>
    </row>
    <row r="24" spans="1:28" ht="27" customHeight="1" thickBot="1" x14ac:dyDescent="0.3">
      <c r="K24" s="154" t="s">
        <v>17</v>
      </c>
      <c r="L24" s="91"/>
      <c r="M24" s="155" t="str">
        <f>IF(OR(AND($L$2="",L24&lt;&gt;""),AND($L$2=3,L24&lt;&gt;"")),"介護度と矛盾します！！","")</f>
        <v/>
      </c>
      <c r="N24" s="153"/>
      <c r="O24" s="153"/>
      <c r="P24" s="153"/>
      <c r="Q24" s="153"/>
      <c r="R24" s="153"/>
      <c r="S24" s="153"/>
      <c r="V24" s="198"/>
      <c r="W24" s="199"/>
      <c r="X24" s="199"/>
      <c r="Y24" s="199"/>
      <c r="Z24" s="199"/>
      <c r="AA24" s="200"/>
    </row>
    <row r="25" spans="1:28" ht="27" customHeight="1" thickBot="1" x14ac:dyDescent="0.3">
      <c r="K25" s="154" t="s">
        <v>329</v>
      </c>
      <c r="L25" s="162">
        <f>SUM(L4:L19,L21:L24)</f>
        <v>0</v>
      </c>
      <c r="M25" s="153"/>
      <c r="N25" s="153"/>
      <c r="O25" s="153"/>
      <c r="P25" s="153"/>
      <c r="Q25" s="153"/>
      <c r="R25" s="153"/>
      <c r="V25" s="198"/>
      <c r="W25" s="199"/>
      <c r="X25" s="199"/>
      <c r="Y25" s="199"/>
      <c r="Z25" s="199"/>
      <c r="AA25" s="200"/>
    </row>
    <row r="26" spans="1:28" ht="27" customHeight="1" thickBot="1" x14ac:dyDescent="0.3">
      <c r="K26" s="154" t="s">
        <v>330</v>
      </c>
      <c r="L26" s="207"/>
      <c r="M26" s="208"/>
      <c r="N26" s="163"/>
      <c r="O26" s="163"/>
      <c r="P26" s="153"/>
      <c r="Q26" s="153"/>
      <c r="V26" s="198"/>
      <c r="W26" s="199"/>
      <c r="X26" s="199"/>
      <c r="Y26" s="199"/>
      <c r="Z26" s="199"/>
      <c r="AA26" s="200"/>
    </row>
    <row r="27" spans="1:28" ht="27" customHeight="1" thickBot="1" x14ac:dyDescent="0.3">
      <c r="K27" s="154" t="s">
        <v>331</v>
      </c>
      <c r="L27" s="207"/>
      <c r="M27" s="208"/>
      <c r="N27" s="163"/>
      <c r="O27" s="153"/>
      <c r="P27" s="153"/>
      <c r="V27" s="198"/>
      <c r="W27" s="199"/>
      <c r="X27" s="199"/>
      <c r="Y27" s="199"/>
      <c r="Z27" s="199"/>
      <c r="AA27" s="200"/>
    </row>
    <row r="28" spans="1:28" ht="27" customHeight="1" thickBot="1" x14ac:dyDescent="0.3">
      <c r="V28" s="198"/>
      <c r="W28" s="199"/>
      <c r="X28" s="199"/>
      <c r="Y28" s="199"/>
      <c r="Z28" s="199"/>
      <c r="AA28" s="200"/>
    </row>
    <row r="29" spans="1:28" ht="27" customHeight="1" thickBot="1" x14ac:dyDescent="0.3">
      <c r="K29" s="192" t="s">
        <v>447</v>
      </c>
      <c r="L29" s="193">
        <v>1</v>
      </c>
      <c r="V29" s="198"/>
      <c r="W29" s="199"/>
      <c r="X29" s="199"/>
      <c r="Y29" s="199"/>
      <c r="Z29" s="199"/>
      <c r="AA29" s="200"/>
    </row>
    <row r="30" spans="1:28" ht="27" customHeight="1" thickBot="1" x14ac:dyDescent="0.3">
      <c r="V30" s="201"/>
      <c r="W30" s="202"/>
      <c r="X30" s="202"/>
      <c r="Y30" s="202"/>
      <c r="Z30" s="202"/>
      <c r="AA30" s="203"/>
    </row>
    <row r="31" spans="1:28" ht="27" customHeight="1" x14ac:dyDescent="0.25"/>
    <row r="32" spans="1:28" ht="27" customHeight="1" thickBot="1" x14ac:dyDescent="0.3">
      <c r="V32" s="84" t="s">
        <v>385</v>
      </c>
    </row>
    <row r="33" spans="1:28" ht="27" customHeight="1" thickBot="1" x14ac:dyDescent="0.3">
      <c r="V33" s="195"/>
      <c r="W33" s="196"/>
      <c r="X33" s="196"/>
      <c r="Y33" s="196"/>
      <c r="Z33" s="196"/>
      <c r="AA33" s="197"/>
      <c r="AB33" s="84" t="str">
        <f>IF(V33="","",LEN(V33)&amp;"/240　文字")</f>
        <v/>
      </c>
    </row>
    <row r="34" spans="1:28" ht="27" customHeight="1" thickBot="1" x14ac:dyDescent="0.3">
      <c r="V34" s="198"/>
      <c r="W34" s="199"/>
      <c r="X34" s="199"/>
      <c r="Y34" s="199"/>
      <c r="Z34" s="199"/>
      <c r="AA34" s="200"/>
    </row>
    <row r="35" spans="1:28" ht="27" customHeight="1" thickBot="1" x14ac:dyDescent="0.3">
      <c r="V35" s="198"/>
      <c r="W35" s="199"/>
      <c r="X35" s="199"/>
      <c r="Y35" s="199"/>
      <c r="Z35" s="199"/>
      <c r="AA35" s="200"/>
    </row>
    <row r="36" spans="1:28" ht="27" customHeight="1" thickBot="1" x14ac:dyDescent="0.3">
      <c r="V36" s="198"/>
      <c r="W36" s="199"/>
      <c r="X36" s="199"/>
      <c r="Y36" s="199"/>
      <c r="Z36" s="199"/>
      <c r="AA36" s="200"/>
    </row>
    <row r="37" spans="1:28" ht="27" customHeight="1" thickBot="1" x14ac:dyDescent="0.3">
      <c r="V37" s="198"/>
      <c r="W37" s="199"/>
      <c r="X37" s="199"/>
      <c r="Y37" s="199"/>
      <c r="Z37" s="199"/>
      <c r="AA37" s="200"/>
    </row>
    <row r="38" spans="1:28" ht="27" customHeight="1" thickBot="1" x14ac:dyDescent="0.3">
      <c r="V38" s="198"/>
      <c r="W38" s="199"/>
      <c r="X38" s="199"/>
      <c r="Y38" s="199"/>
      <c r="Z38" s="199"/>
      <c r="AA38" s="200"/>
    </row>
    <row r="39" spans="1:28" ht="27" customHeight="1" thickBot="1" x14ac:dyDescent="0.3">
      <c r="V39" s="198"/>
      <c r="W39" s="199"/>
      <c r="X39" s="199"/>
      <c r="Y39" s="199"/>
      <c r="Z39" s="199"/>
      <c r="AA39" s="200"/>
    </row>
    <row r="40" spans="1:28" ht="27" customHeight="1" thickBot="1" x14ac:dyDescent="0.3">
      <c r="A40" s="84"/>
      <c r="B40" s="84"/>
      <c r="C40" s="84"/>
      <c r="D40" s="84"/>
      <c r="E40" s="84"/>
      <c r="F40" s="84"/>
      <c r="G40" s="84"/>
      <c r="H40" s="84"/>
      <c r="I40" s="84"/>
      <c r="V40" s="201"/>
      <c r="W40" s="202"/>
      <c r="X40" s="202"/>
      <c r="Y40" s="202"/>
      <c r="Z40" s="202"/>
      <c r="AA40" s="203"/>
    </row>
    <row r="41" spans="1:28" ht="27" customHeight="1" x14ac:dyDescent="0.25">
      <c r="A41" s="84"/>
      <c r="B41" s="84"/>
      <c r="C41" s="84"/>
      <c r="D41" s="84"/>
      <c r="E41" s="84"/>
      <c r="F41" s="84"/>
      <c r="G41" s="84"/>
      <c r="H41" s="84"/>
      <c r="I41" s="84"/>
    </row>
    <row r="42" spans="1:28" ht="27" customHeight="1" thickBot="1" x14ac:dyDescent="0.3">
      <c r="A42" s="176"/>
      <c r="B42" s="176"/>
      <c r="C42" s="176"/>
      <c r="D42" s="176"/>
      <c r="E42" s="176"/>
      <c r="F42" s="176"/>
      <c r="G42" s="84"/>
      <c r="V42" s="84" t="s">
        <v>413</v>
      </c>
    </row>
    <row r="43" spans="1:28" ht="27" customHeight="1" thickBot="1" x14ac:dyDescent="0.3">
      <c r="A43" s="176"/>
      <c r="B43" s="176"/>
      <c r="C43" s="176"/>
      <c r="D43" s="176"/>
      <c r="E43" s="176"/>
      <c r="F43" s="176"/>
      <c r="G43" s="84"/>
      <c r="V43" s="195"/>
      <c r="W43" s="196"/>
      <c r="X43" s="196"/>
      <c r="Y43" s="196"/>
      <c r="Z43" s="196"/>
      <c r="AA43" s="197"/>
      <c r="AB43" s="84" t="str">
        <f>IF(V43="","",LEN(V43)&amp;"/240　文字")</f>
        <v/>
      </c>
    </row>
    <row r="44" spans="1:28" ht="27" customHeight="1" thickBot="1" x14ac:dyDescent="0.3">
      <c r="A44" s="176"/>
      <c r="B44" s="176"/>
      <c r="C44" s="176"/>
      <c r="D44" s="176"/>
      <c r="E44" s="176"/>
      <c r="F44" s="176"/>
      <c r="G44" s="84"/>
      <c r="V44" s="198"/>
      <c r="W44" s="199"/>
      <c r="X44" s="199"/>
      <c r="Y44" s="199"/>
      <c r="Z44" s="199"/>
      <c r="AA44" s="200"/>
    </row>
    <row r="45" spans="1:28" ht="27" customHeight="1" thickBot="1" x14ac:dyDescent="0.3">
      <c r="A45" s="176"/>
      <c r="B45" s="176"/>
      <c r="C45" s="176"/>
      <c r="D45" s="176"/>
      <c r="E45" s="176"/>
      <c r="F45" s="176"/>
      <c r="G45" s="84"/>
      <c r="V45" s="198"/>
      <c r="W45" s="199"/>
      <c r="X45" s="199"/>
      <c r="Y45" s="199"/>
      <c r="Z45" s="199"/>
      <c r="AA45" s="200"/>
    </row>
    <row r="46" spans="1:28" ht="27" customHeight="1" thickBot="1" x14ac:dyDescent="0.3">
      <c r="A46" s="176"/>
      <c r="B46" s="176"/>
      <c r="C46" s="176"/>
      <c r="D46" s="176"/>
      <c r="E46" s="176"/>
      <c r="F46" s="176"/>
      <c r="G46" s="84"/>
      <c r="V46" s="198"/>
      <c r="W46" s="199"/>
      <c r="X46" s="199"/>
      <c r="Y46" s="199"/>
      <c r="Z46" s="199"/>
      <c r="AA46" s="200"/>
    </row>
    <row r="47" spans="1:28" ht="27" customHeight="1" thickBot="1" x14ac:dyDescent="0.3">
      <c r="A47" s="176"/>
      <c r="B47" s="176"/>
      <c r="C47" s="176"/>
      <c r="D47" s="176"/>
      <c r="E47" s="176"/>
      <c r="F47" s="176"/>
      <c r="G47" s="84"/>
      <c r="V47" s="198"/>
      <c r="W47" s="199"/>
      <c r="X47" s="199"/>
      <c r="Y47" s="199"/>
      <c r="Z47" s="199"/>
      <c r="AA47" s="200"/>
    </row>
    <row r="48" spans="1:28" ht="27" customHeight="1" thickBot="1" x14ac:dyDescent="0.3">
      <c r="A48" s="176"/>
      <c r="B48" s="176"/>
      <c r="C48" s="176"/>
      <c r="D48" s="176"/>
      <c r="E48" s="176"/>
      <c r="F48" s="176"/>
      <c r="G48" s="84"/>
      <c r="V48" s="198"/>
      <c r="W48" s="199"/>
      <c r="X48" s="199"/>
      <c r="Y48" s="199"/>
      <c r="Z48" s="199"/>
      <c r="AA48" s="200"/>
    </row>
    <row r="49" spans="1:27" ht="27" customHeight="1" thickBot="1" x14ac:dyDescent="0.3">
      <c r="A49" s="176"/>
      <c r="B49" s="176"/>
      <c r="C49" s="176"/>
      <c r="D49" s="176"/>
      <c r="E49" s="176"/>
      <c r="F49" s="176"/>
      <c r="G49" s="84"/>
      <c r="V49" s="198"/>
      <c r="W49" s="199"/>
      <c r="X49" s="199"/>
      <c r="Y49" s="199"/>
      <c r="Z49" s="199"/>
      <c r="AA49" s="200"/>
    </row>
    <row r="50" spans="1:27" ht="27" customHeight="1" thickBot="1" x14ac:dyDescent="0.3">
      <c r="V50" s="201"/>
      <c r="W50" s="202"/>
      <c r="X50" s="202"/>
      <c r="Y50" s="202"/>
      <c r="Z50" s="202"/>
      <c r="AA50" s="203"/>
    </row>
  </sheetData>
  <sheetProtection selectLockedCells="1"/>
  <mergeCells count="11">
    <mergeCell ref="V43:AA50"/>
    <mergeCell ref="V33:AA40"/>
    <mergeCell ref="B16:D16"/>
    <mergeCell ref="V3:AA10"/>
    <mergeCell ref="V13:AA20"/>
    <mergeCell ref="L26:M26"/>
    <mergeCell ref="L27:M27"/>
    <mergeCell ref="B6:D6"/>
    <mergeCell ref="V23:AA30"/>
    <mergeCell ref="B17:H19"/>
    <mergeCell ref="B11:D11"/>
  </mergeCells>
  <phoneticPr fontId="1"/>
  <conditionalFormatting sqref="B2">
    <cfRule type="expression" dxfId="52" priority="58">
      <formula>$B$2=""</formula>
    </cfRule>
  </conditionalFormatting>
  <conditionalFormatting sqref="B3">
    <cfRule type="expression" dxfId="51" priority="57">
      <formula>$B$3=""</formula>
    </cfRule>
  </conditionalFormatting>
  <conditionalFormatting sqref="B4">
    <cfRule type="expression" dxfId="50" priority="55">
      <formula>$B$4=""</formula>
    </cfRule>
  </conditionalFormatting>
  <conditionalFormatting sqref="B5">
    <cfRule type="expression" dxfId="49" priority="52">
      <formula>$B5=""</formula>
    </cfRule>
  </conditionalFormatting>
  <conditionalFormatting sqref="B9:B10">
    <cfRule type="expression" dxfId="48" priority="6">
      <formula>$B$11=""</formula>
    </cfRule>
  </conditionalFormatting>
  <conditionalFormatting sqref="B12:B13">
    <cfRule type="expression" dxfId="47" priority="3">
      <formula>$B$13=""</formula>
    </cfRule>
  </conditionalFormatting>
  <conditionalFormatting sqref="B15">
    <cfRule type="expression" dxfId="46" priority="42">
      <formula>$B$15=""</formula>
    </cfRule>
  </conditionalFormatting>
  <conditionalFormatting sqref="B16">
    <cfRule type="expression" dxfId="45" priority="41">
      <formula>$B$16=""</formula>
    </cfRule>
  </conditionalFormatting>
  <conditionalFormatting sqref="B6:D6">
    <cfRule type="expression" dxfId="44" priority="25">
      <formula>$B$6=""</formula>
    </cfRule>
  </conditionalFormatting>
  <conditionalFormatting sqref="B11:D11">
    <cfRule type="expression" dxfId="43" priority="4">
      <formula>$B$6=""</formula>
    </cfRule>
  </conditionalFormatting>
  <conditionalFormatting sqref="C12:D12">
    <cfRule type="expression" dxfId="42" priority="9">
      <formula>$B$6=""</formula>
    </cfRule>
  </conditionalFormatting>
  <conditionalFormatting sqref="D5">
    <cfRule type="expression" dxfId="41" priority="53">
      <formula>$D$5=""</formula>
    </cfRule>
  </conditionalFormatting>
  <conditionalFormatting sqref="D14:D15">
    <cfRule type="expression" dxfId="40" priority="10">
      <formula>$D$14=""</formula>
    </cfRule>
  </conditionalFormatting>
  <conditionalFormatting sqref="F5">
    <cfRule type="expression" dxfId="39" priority="51">
      <formula>$F$5=""</formula>
    </cfRule>
  </conditionalFormatting>
  <conditionalFormatting sqref="F14">
    <cfRule type="expression" dxfId="38" priority="45">
      <formula>$F$14=""</formula>
    </cfRule>
  </conditionalFormatting>
  <conditionalFormatting sqref="H5">
    <cfRule type="expression" dxfId="37" priority="49">
      <formula>$H$5=""</formula>
    </cfRule>
  </conditionalFormatting>
  <conditionalFormatting sqref="H14">
    <cfRule type="expression" dxfId="36" priority="44">
      <formula>$H$14=""</formula>
    </cfRule>
  </conditionalFormatting>
  <conditionalFormatting sqref="K3:K25">
    <cfRule type="expression" dxfId="35" priority="36">
      <formula>$L$2=3</formula>
    </cfRule>
  </conditionalFormatting>
  <conditionalFormatting sqref="K7:K9 K14:K15">
    <cfRule type="expression" dxfId="34" priority="33">
      <formula>OR($L$2=2,$L$2=3)</formula>
    </cfRule>
  </conditionalFormatting>
  <conditionalFormatting sqref="K29">
    <cfRule type="expression" dxfId="33" priority="1">
      <formula>$L$2=3</formula>
    </cfRule>
  </conditionalFormatting>
  <conditionalFormatting sqref="L2">
    <cfRule type="expression" dxfId="32" priority="40">
      <formula>$L$2=""</formula>
    </cfRule>
  </conditionalFormatting>
  <conditionalFormatting sqref="L3:L25">
    <cfRule type="expression" dxfId="31" priority="37">
      <formula>$L$2=3</formula>
    </cfRule>
  </conditionalFormatting>
  <conditionalFormatting sqref="L7">
    <cfRule type="expression" dxfId="30" priority="16">
      <formula>OR($L$2=2,$L$2=3)</formula>
    </cfRule>
  </conditionalFormatting>
  <conditionalFormatting sqref="L8">
    <cfRule type="expression" dxfId="29" priority="15">
      <formula>OR($L$2=2,$L$2=3)</formula>
    </cfRule>
  </conditionalFormatting>
  <conditionalFormatting sqref="L9">
    <cfRule type="expression" dxfId="28" priority="14">
      <formula>OR($L$2=2,$L$2=3)</formula>
    </cfRule>
  </conditionalFormatting>
  <conditionalFormatting sqref="L14">
    <cfRule type="expression" dxfId="27" priority="13">
      <formula>OR($L$2=2,$L$2=3)</formula>
    </cfRule>
  </conditionalFormatting>
  <conditionalFormatting sqref="L15">
    <cfRule type="expression" dxfId="26" priority="12">
      <formula>OR($L$2=2,$L$2=3)</formula>
    </cfRule>
  </conditionalFormatting>
  <conditionalFormatting sqref="L29">
    <cfRule type="expression" dxfId="25" priority="2">
      <formula>$L$2=3</formula>
    </cfRule>
  </conditionalFormatting>
  <conditionalFormatting sqref="V3:AA10">
    <cfRule type="expression" dxfId="24" priority="17">
      <formula>$V$3=""</formula>
    </cfRule>
  </conditionalFormatting>
  <dataValidations count="16">
    <dataValidation imeMode="hiragana" allowBlank="1" showInputMessage="1" showErrorMessage="1" sqref="B15 B16:D16 B3 B17:H19 B6:D6 C11:D12 B9:B11" xr:uid="{00000000-0002-0000-0000-000000000000}"/>
    <dataValidation type="whole" imeMode="halfAlpha" allowBlank="1" showInputMessage="1" showErrorMessage="1" sqref="F14 F5" xr:uid="{00000000-0002-0000-0000-000001000000}">
      <formula1>1</formula1>
      <formula2>12</formula2>
    </dataValidation>
    <dataValidation type="whole" imeMode="halfAlpha" allowBlank="1" showInputMessage="1" showErrorMessage="1" sqref="H14 H5" xr:uid="{00000000-0002-0000-0000-000002000000}">
      <formula1>1</formula1>
      <formula2>31</formula2>
    </dataValidation>
    <dataValidation imeMode="halfAlpha" allowBlank="1" showInputMessage="1" showErrorMessage="1" sqref="B12:B13 B7:B8" xr:uid="{00000000-0002-0000-0000-000003000000}"/>
    <dataValidation type="whole" imeMode="halfAlpha" allowBlank="1" showInputMessage="1" showErrorMessage="1" sqref="L2 B5" xr:uid="{00000000-0002-0000-0000-000004000000}">
      <formula1>1</formula1>
      <formula2>3</formula2>
    </dataValidation>
    <dataValidation type="textLength" imeMode="hiragana" operator="lessThanOrEqual" allowBlank="1" showInputMessage="1" showErrorMessage="1" sqref="L26:O26" xr:uid="{00000000-0002-0000-0000-000006000000}">
      <formula1>32</formula1>
    </dataValidation>
    <dataValidation type="textLength" imeMode="hiragana" operator="lessThanOrEqual" allowBlank="1" showInputMessage="1" showErrorMessage="1" sqref="L27:N27" xr:uid="{00000000-0002-0000-0000-000007000000}">
      <formula1>24</formula1>
    </dataValidation>
    <dataValidation type="textLength" imeMode="halfAlpha" operator="lessThanOrEqual" allowBlank="1" showInputMessage="1" showErrorMessage="1" sqref="B2" xr:uid="{00000000-0002-0000-0000-000008000000}">
      <formula1>10</formula1>
    </dataValidation>
    <dataValidation type="whole" imeMode="halfAlpha" operator="lessThanOrEqual" allowBlank="1" showInputMessage="1" showErrorMessage="1" sqref="D5" xr:uid="{00000000-0002-0000-0000-000009000000}">
      <formula1>64</formula1>
    </dataValidation>
    <dataValidation type="whole" imeMode="halfAlpha" allowBlank="1" showInputMessage="1" showErrorMessage="1" sqref="B4" xr:uid="{00000000-0002-0000-0000-00000A000000}">
      <formula1>1</formula1>
      <formula2>2</formula2>
    </dataValidation>
    <dataValidation type="whole" imeMode="halfAlpha" allowBlank="1" showInputMessage="1" showErrorMessage="1" sqref="B14" xr:uid="{00000000-0002-0000-0000-00000B000000}">
      <formula1>4</formula1>
      <formula2>5</formula2>
    </dataValidation>
    <dataValidation type="whole" imeMode="halfAlpha" operator="lessThanOrEqual" allowBlank="1" showInputMessage="1" showErrorMessage="1" sqref="D14" xr:uid="{00000000-0002-0000-0000-00000C000000}">
      <formula1>31</formula1>
    </dataValidation>
    <dataValidation type="custom" imeMode="halfAlpha" showInputMessage="1" showErrorMessage="1" sqref="L3:L6 L10:L13 L16:L24 L29" xr:uid="{00000000-0002-0000-0000-00000F000000}">
      <formula1>OR($L$2=1,$L$2=2)</formula1>
    </dataValidation>
    <dataValidation type="custom" imeMode="halfAlpha" showInputMessage="1" showErrorMessage="1" sqref="L7:L9 L14:L15" xr:uid="{00000000-0002-0000-0000-000011000000}">
      <formula1>$L$2=1</formula1>
    </dataValidation>
    <dataValidation type="textLength" imeMode="hiragana" operator="lessThanOrEqual" allowBlank="1" showInputMessage="1" showErrorMessage="1" sqref="V3:AA10 V13:AA20 V23:AA30 V33:AA40 V43:AA50 A42:F49" xr:uid="{00000000-0002-0000-0000-000012000000}">
      <formula1>240</formula1>
    </dataValidation>
    <dataValidation imeMode="halfAlpha" operator="lessThanOrEqual" allowBlank="1" showInputMessage="1" showErrorMessage="1" sqref="D15" xr:uid="{8F9809FE-7011-42C2-80E3-5A3E9909F73B}"/>
  </dataValidations>
  <pageMargins left="0.7" right="0.7" top="0.75" bottom="0.75" header="0.3" footer="0.3"/>
  <pageSetup paperSize="9" orientation="portrait" r:id="rId1"/>
  <ignoredErrors>
    <ignoredError sqref="M2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B2:E29"/>
  <sheetViews>
    <sheetView showGridLines="0" workbookViewId="0"/>
  </sheetViews>
  <sheetFormatPr defaultColWidth="9" defaultRowHeight="12.75" x14ac:dyDescent="0.25"/>
  <cols>
    <col min="1" max="16384" width="9" style="151"/>
  </cols>
  <sheetData>
    <row r="2" spans="2:2" x14ac:dyDescent="0.25">
      <c r="B2" s="151" t="s">
        <v>374</v>
      </c>
    </row>
    <row r="3" spans="2:2" ht="6" customHeight="1" x14ac:dyDescent="0.25">
      <c r="B3" s="152"/>
    </row>
    <row r="4" spans="2:2" ht="15.4" x14ac:dyDescent="0.25">
      <c r="B4" s="183" t="str">
        <f>VLOOKUP(計算シート!D78,計算シート!$A$80:$B$83,2,FALSE)</f>
        <v>入力誤りが残っています！！赤色シートで内容を確認し，黄色シートの該当箇所を必ず訂正してください。</v>
      </c>
    </row>
    <row r="13" spans="2:2" x14ac:dyDescent="0.25">
      <c r="B13" s="151" t="s">
        <v>375</v>
      </c>
    </row>
    <row r="14" spans="2:2" ht="6" customHeight="1" x14ac:dyDescent="0.25">
      <c r="B14" s="152"/>
    </row>
    <row r="15" spans="2:2" ht="17.25" customHeight="1" x14ac:dyDescent="0.25">
      <c r="B15" s="183" t="str">
        <f>IF(OR(計算シート!$D$78=0,計算シート!$D$78=1),"①「特記事項」のシート全体をコピーして，Wordを開いて貼り付けてください。","")</f>
        <v/>
      </c>
    </row>
    <row r="16" spans="2:2" ht="15.4" x14ac:dyDescent="0.25">
      <c r="B16" s="183" t="str">
        <f>IF(OR(計算シート!$D$78=0,計算シート!$D$78=1),"②Wordを開いた状態で「F7」ボタンを押してください。","")</f>
        <v/>
      </c>
    </row>
    <row r="17" spans="2:5" ht="15.4" x14ac:dyDescent="0.25">
      <c r="B17" s="183" t="str">
        <f>IF(OR(計算シート!$D$78=0,計算シート!$D$78=1),"③校正箇所があれば内容を確認し，必要に応じて黄色シートの該当箇所を訂正してください。","")</f>
        <v/>
      </c>
    </row>
    <row r="25" spans="2:5" x14ac:dyDescent="0.25">
      <c r="B25" s="151" t="s">
        <v>379</v>
      </c>
    </row>
    <row r="26" spans="2:5" ht="6" customHeight="1" x14ac:dyDescent="0.25">
      <c r="B26" s="152"/>
    </row>
    <row r="27" spans="2:5" ht="17.25" customHeight="1" x14ac:dyDescent="0.25">
      <c r="B27" s="183" t="str">
        <f>IF(B15&lt;&gt;"","青色シートを印刷してください。","")</f>
        <v/>
      </c>
    </row>
    <row r="28" spans="2:5" ht="17.25" customHeight="1" x14ac:dyDescent="0.25">
      <c r="B28" s="183" t="str">
        <f>IF(B15&lt;&gt;"","「訪問調査票」はＡ４片面で３枚です。","")</f>
        <v/>
      </c>
    </row>
    <row r="29" spans="2:5" ht="17.25" customHeight="1" x14ac:dyDescent="0.25">
      <c r="B29" s="183" t="str">
        <f>IF(B15&lt;&gt;"","「特記事項」はＡ４片面で","")</f>
        <v/>
      </c>
      <c r="E29" s="183" t="str">
        <f>IF(B15="","",""&amp;計算シート!$A$65&amp;"枚です。")</f>
        <v/>
      </c>
    </row>
  </sheetData>
  <sheetProtection selectLockedCells="1" selectUnlockedCells="1"/>
  <phoneticPr fontId="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
  <sheetViews>
    <sheetView view="pageBreakPreview" zoomScaleNormal="100" zoomScaleSheetLayoutView="100" workbookViewId="0">
      <selection activeCell="J134" sqref="J134"/>
    </sheetView>
  </sheetViews>
  <sheetFormatPr defaultRowHeight="12.75" x14ac:dyDescent="0.25"/>
  <sheetData/>
  <sheetProtection selectLockedCells="1"/>
  <phoneticPr fontId="1"/>
  <pageMargins left="0" right="0" top="0" bottom="0"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AR92"/>
  <sheetViews>
    <sheetView zoomScale="85" zoomScaleNormal="85" zoomScaleSheetLayoutView="55" workbookViewId="0">
      <selection activeCell="L85" sqref="L85:V89"/>
    </sheetView>
  </sheetViews>
  <sheetFormatPr defaultRowHeight="10.5" customHeight="1" x14ac:dyDescent="0.2"/>
  <cols>
    <col min="1" max="10" width="9" style="5"/>
    <col min="11" max="11" width="11.19921875" style="5" customWidth="1"/>
    <col min="12" max="21" width="9" style="5"/>
    <col min="22" max="22" width="11.19921875" style="5" customWidth="1"/>
    <col min="23" max="32" width="9" style="5"/>
    <col min="33" max="33" width="11.19921875" style="5" customWidth="1"/>
    <col min="34" max="43" width="9" style="5"/>
    <col min="44" max="44" width="11.19921875" style="5" customWidth="1"/>
    <col min="45" max="266" width="9" style="5"/>
    <col min="267" max="267" width="11.19921875" style="5" customWidth="1"/>
    <col min="268" max="277" width="9" style="5"/>
    <col min="278" max="278" width="11.19921875" style="5" customWidth="1"/>
    <col min="279" max="288" width="9" style="5"/>
    <col min="289" max="289" width="11.19921875" style="5" customWidth="1"/>
    <col min="290" max="299" width="9" style="5"/>
    <col min="300" max="300" width="11.19921875" style="5" customWidth="1"/>
    <col min="301" max="522" width="9" style="5"/>
    <col min="523" max="523" width="11.19921875" style="5" customWidth="1"/>
    <col min="524" max="533" width="9" style="5"/>
    <col min="534" max="534" width="11.19921875" style="5" customWidth="1"/>
    <col min="535" max="544" width="9" style="5"/>
    <col min="545" max="545" width="11.19921875" style="5" customWidth="1"/>
    <col min="546" max="555" width="9" style="5"/>
    <col min="556" max="556" width="11.19921875" style="5" customWidth="1"/>
    <col min="557" max="778" width="9" style="5"/>
    <col min="779" max="779" width="11.19921875" style="5" customWidth="1"/>
    <col min="780" max="789" width="9" style="5"/>
    <col min="790" max="790" width="11.19921875" style="5" customWidth="1"/>
    <col min="791" max="800" width="9" style="5"/>
    <col min="801" max="801" width="11.19921875" style="5" customWidth="1"/>
    <col min="802" max="811" width="9" style="5"/>
    <col min="812" max="812" width="11.19921875" style="5" customWidth="1"/>
    <col min="813" max="1034" width="9" style="5"/>
    <col min="1035" max="1035" width="11.19921875" style="5" customWidth="1"/>
    <col min="1036" max="1045" width="9" style="5"/>
    <col min="1046" max="1046" width="11.19921875" style="5" customWidth="1"/>
    <col min="1047" max="1056" width="9" style="5"/>
    <col min="1057" max="1057" width="11.19921875" style="5" customWidth="1"/>
    <col min="1058" max="1067" width="9" style="5"/>
    <col min="1068" max="1068" width="11.19921875" style="5" customWidth="1"/>
    <col min="1069" max="1290" width="9" style="5"/>
    <col min="1291" max="1291" width="11.19921875" style="5" customWidth="1"/>
    <col min="1292" max="1301" width="9" style="5"/>
    <col min="1302" max="1302" width="11.19921875" style="5" customWidth="1"/>
    <col min="1303" max="1312" width="9" style="5"/>
    <col min="1313" max="1313" width="11.19921875" style="5" customWidth="1"/>
    <col min="1314" max="1323" width="9" style="5"/>
    <col min="1324" max="1324" width="11.19921875" style="5" customWidth="1"/>
    <col min="1325" max="1546" width="9" style="5"/>
    <col min="1547" max="1547" width="11.19921875" style="5" customWidth="1"/>
    <col min="1548" max="1557" width="9" style="5"/>
    <col min="1558" max="1558" width="11.19921875" style="5" customWidth="1"/>
    <col min="1559" max="1568" width="9" style="5"/>
    <col min="1569" max="1569" width="11.19921875" style="5" customWidth="1"/>
    <col min="1570" max="1579" width="9" style="5"/>
    <col min="1580" max="1580" width="11.19921875" style="5" customWidth="1"/>
    <col min="1581" max="1802" width="9" style="5"/>
    <col min="1803" max="1803" width="11.19921875" style="5" customWidth="1"/>
    <col min="1804" max="1813" width="9" style="5"/>
    <col min="1814" max="1814" width="11.19921875" style="5" customWidth="1"/>
    <col min="1815" max="1824" width="9" style="5"/>
    <col min="1825" max="1825" width="11.19921875" style="5" customWidth="1"/>
    <col min="1826" max="1835" width="9" style="5"/>
    <col min="1836" max="1836" width="11.19921875" style="5" customWidth="1"/>
    <col min="1837" max="2058" width="9" style="5"/>
    <col min="2059" max="2059" width="11.19921875" style="5" customWidth="1"/>
    <col min="2060" max="2069" width="9" style="5"/>
    <col min="2070" max="2070" width="11.19921875" style="5" customWidth="1"/>
    <col min="2071" max="2080" width="9" style="5"/>
    <col min="2081" max="2081" width="11.19921875" style="5" customWidth="1"/>
    <col min="2082" max="2091" width="9" style="5"/>
    <col min="2092" max="2092" width="11.19921875" style="5" customWidth="1"/>
    <col min="2093" max="2314" width="9" style="5"/>
    <col min="2315" max="2315" width="11.19921875" style="5" customWidth="1"/>
    <col min="2316" max="2325" width="9" style="5"/>
    <col min="2326" max="2326" width="11.19921875" style="5" customWidth="1"/>
    <col min="2327" max="2336" width="9" style="5"/>
    <col min="2337" max="2337" width="11.19921875" style="5" customWidth="1"/>
    <col min="2338" max="2347" width="9" style="5"/>
    <col min="2348" max="2348" width="11.19921875" style="5" customWidth="1"/>
    <col min="2349" max="2570" width="9" style="5"/>
    <col min="2571" max="2571" width="11.19921875" style="5" customWidth="1"/>
    <col min="2572" max="2581" width="9" style="5"/>
    <col min="2582" max="2582" width="11.19921875" style="5" customWidth="1"/>
    <col min="2583" max="2592" width="9" style="5"/>
    <col min="2593" max="2593" width="11.19921875" style="5" customWidth="1"/>
    <col min="2594" max="2603" width="9" style="5"/>
    <col min="2604" max="2604" width="11.19921875" style="5" customWidth="1"/>
    <col min="2605" max="2826" width="9" style="5"/>
    <col min="2827" max="2827" width="11.19921875" style="5" customWidth="1"/>
    <col min="2828" max="2837" width="9" style="5"/>
    <col min="2838" max="2838" width="11.19921875" style="5" customWidth="1"/>
    <col min="2839" max="2848" width="9" style="5"/>
    <col min="2849" max="2849" width="11.19921875" style="5" customWidth="1"/>
    <col min="2850" max="2859" width="9" style="5"/>
    <col min="2860" max="2860" width="11.19921875" style="5" customWidth="1"/>
    <col min="2861" max="3082" width="9" style="5"/>
    <col min="3083" max="3083" width="11.19921875" style="5" customWidth="1"/>
    <col min="3084" max="3093" width="9" style="5"/>
    <col min="3094" max="3094" width="11.19921875" style="5" customWidth="1"/>
    <col min="3095" max="3104" width="9" style="5"/>
    <col min="3105" max="3105" width="11.19921875" style="5" customWidth="1"/>
    <col min="3106" max="3115" width="9" style="5"/>
    <col min="3116" max="3116" width="11.19921875" style="5" customWidth="1"/>
    <col min="3117" max="3338" width="9" style="5"/>
    <col min="3339" max="3339" width="11.19921875" style="5" customWidth="1"/>
    <col min="3340" max="3349" width="9" style="5"/>
    <col min="3350" max="3350" width="11.19921875" style="5" customWidth="1"/>
    <col min="3351" max="3360" width="9" style="5"/>
    <col min="3361" max="3361" width="11.19921875" style="5" customWidth="1"/>
    <col min="3362" max="3371" width="9" style="5"/>
    <col min="3372" max="3372" width="11.19921875" style="5" customWidth="1"/>
    <col min="3373" max="3594" width="9" style="5"/>
    <col min="3595" max="3595" width="11.19921875" style="5" customWidth="1"/>
    <col min="3596" max="3605" width="9" style="5"/>
    <col min="3606" max="3606" width="11.19921875" style="5" customWidth="1"/>
    <col min="3607" max="3616" width="9" style="5"/>
    <col min="3617" max="3617" width="11.19921875" style="5" customWidth="1"/>
    <col min="3618" max="3627" width="9" style="5"/>
    <col min="3628" max="3628" width="11.19921875" style="5" customWidth="1"/>
    <col min="3629" max="3850" width="9" style="5"/>
    <col min="3851" max="3851" width="11.19921875" style="5" customWidth="1"/>
    <col min="3852" max="3861" width="9" style="5"/>
    <col min="3862" max="3862" width="11.19921875" style="5" customWidth="1"/>
    <col min="3863" max="3872" width="9" style="5"/>
    <col min="3873" max="3873" width="11.19921875" style="5" customWidth="1"/>
    <col min="3874" max="3883" width="9" style="5"/>
    <col min="3884" max="3884" width="11.19921875" style="5" customWidth="1"/>
    <col min="3885" max="4106" width="9" style="5"/>
    <col min="4107" max="4107" width="11.19921875" style="5" customWidth="1"/>
    <col min="4108" max="4117" width="9" style="5"/>
    <col min="4118" max="4118" width="11.19921875" style="5" customWidth="1"/>
    <col min="4119" max="4128" width="9" style="5"/>
    <col min="4129" max="4129" width="11.19921875" style="5" customWidth="1"/>
    <col min="4130" max="4139" width="9" style="5"/>
    <col min="4140" max="4140" width="11.19921875" style="5" customWidth="1"/>
    <col min="4141" max="4362" width="9" style="5"/>
    <col min="4363" max="4363" width="11.19921875" style="5" customWidth="1"/>
    <col min="4364" max="4373" width="9" style="5"/>
    <col min="4374" max="4374" width="11.19921875" style="5" customWidth="1"/>
    <col min="4375" max="4384" width="9" style="5"/>
    <col min="4385" max="4385" width="11.19921875" style="5" customWidth="1"/>
    <col min="4386" max="4395" width="9" style="5"/>
    <col min="4396" max="4396" width="11.19921875" style="5" customWidth="1"/>
    <col min="4397" max="4618" width="9" style="5"/>
    <col min="4619" max="4619" width="11.19921875" style="5" customWidth="1"/>
    <col min="4620" max="4629" width="9" style="5"/>
    <col min="4630" max="4630" width="11.19921875" style="5" customWidth="1"/>
    <col min="4631" max="4640" width="9" style="5"/>
    <col min="4641" max="4641" width="11.19921875" style="5" customWidth="1"/>
    <col min="4642" max="4651" width="9" style="5"/>
    <col min="4652" max="4652" width="11.19921875" style="5" customWidth="1"/>
    <col min="4653" max="4874" width="9" style="5"/>
    <col min="4875" max="4875" width="11.19921875" style="5" customWidth="1"/>
    <col min="4876" max="4885" width="9" style="5"/>
    <col min="4886" max="4886" width="11.19921875" style="5" customWidth="1"/>
    <col min="4887" max="4896" width="9" style="5"/>
    <col min="4897" max="4897" width="11.19921875" style="5" customWidth="1"/>
    <col min="4898" max="4907" width="9" style="5"/>
    <col min="4908" max="4908" width="11.19921875" style="5" customWidth="1"/>
    <col min="4909" max="5130" width="9" style="5"/>
    <col min="5131" max="5131" width="11.19921875" style="5" customWidth="1"/>
    <col min="5132" max="5141" width="9" style="5"/>
    <col min="5142" max="5142" width="11.19921875" style="5" customWidth="1"/>
    <col min="5143" max="5152" width="9" style="5"/>
    <col min="5153" max="5153" width="11.19921875" style="5" customWidth="1"/>
    <col min="5154" max="5163" width="9" style="5"/>
    <col min="5164" max="5164" width="11.19921875" style="5" customWidth="1"/>
    <col min="5165" max="5386" width="9" style="5"/>
    <col min="5387" max="5387" width="11.19921875" style="5" customWidth="1"/>
    <col min="5388" max="5397" width="9" style="5"/>
    <col min="5398" max="5398" width="11.19921875" style="5" customWidth="1"/>
    <col min="5399" max="5408" width="9" style="5"/>
    <col min="5409" max="5409" width="11.19921875" style="5" customWidth="1"/>
    <col min="5410" max="5419" width="9" style="5"/>
    <col min="5420" max="5420" width="11.19921875" style="5" customWidth="1"/>
    <col min="5421" max="5642" width="9" style="5"/>
    <col min="5643" max="5643" width="11.19921875" style="5" customWidth="1"/>
    <col min="5644" max="5653" width="9" style="5"/>
    <col min="5654" max="5654" width="11.19921875" style="5" customWidth="1"/>
    <col min="5655" max="5664" width="9" style="5"/>
    <col min="5665" max="5665" width="11.19921875" style="5" customWidth="1"/>
    <col min="5666" max="5675" width="9" style="5"/>
    <col min="5676" max="5676" width="11.19921875" style="5" customWidth="1"/>
    <col min="5677" max="5898" width="9" style="5"/>
    <col min="5899" max="5899" width="11.19921875" style="5" customWidth="1"/>
    <col min="5900" max="5909" width="9" style="5"/>
    <col min="5910" max="5910" width="11.19921875" style="5" customWidth="1"/>
    <col min="5911" max="5920" width="9" style="5"/>
    <col min="5921" max="5921" width="11.19921875" style="5" customWidth="1"/>
    <col min="5922" max="5931" width="9" style="5"/>
    <col min="5932" max="5932" width="11.19921875" style="5" customWidth="1"/>
    <col min="5933" max="6154" width="9" style="5"/>
    <col min="6155" max="6155" width="11.19921875" style="5" customWidth="1"/>
    <col min="6156" max="6165" width="9" style="5"/>
    <col min="6166" max="6166" width="11.19921875" style="5" customWidth="1"/>
    <col min="6167" max="6176" width="9" style="5"/>
    <col min="6177" max="6177" width="11.19921875" style="5" customWidth="1"/>
    <col min="6178" max="6187" width="9" style="5"/>
    <col min="6188" max="6188" width="11.19921875" style="5" customWidth="1"/>
    <col min="6189" max="6410" width="9" style="5"/>
    <col min="6411" max="6411" width="11.19921875" style="5" customWidth="1"/>
    <col min="6412" max="6421" width="9" style="5"/>
    <col min="6422" max="6422" width="11.19921875" style="5" customWidth="1"/>
    <col min="6423" max="6432" width="9" style="5"/>
    <col min="6433" max="6433" width="11.19921875" style="5" customWidth="1"/>
    <col min="6434" max="6443" width="9" style="5"/>
    <col min="6444" max="6444" width="11.19921875" style="5" customWidth="1"/>
    <col min="6445" max="6666" width="9" style="5"/>
    <col min="6667" max="6667" width="11.19921875" style="5" customWidth="1"/>
    <col min="6668" max="6677" width="9" style="5"/>
    <col min="6678" max="6678" width="11.19921875" style="5" customWidth="1"/>
    <col min="6679" max="6688" width="9" style="5"/>
    <col min="6689" max="6689" width="11.19921875" style="5" customWidth="1"/>
    <col min="6690" max="6699" width="9" style="5"/>
    <col min="6700" max="6700" width="11.19921875" style="5" customWidth="1"/>
    <col min="6701" max="6922" width="9" style="5"/>
    <col min="6923" max="6923" width="11.19921875" style="5" customWidth="1"/>
    <col min="6924" max="6933" width="9" style="5"/>
    <col min="6934" max="6934" width="11.19921875" style="5" customWidth="1"/>
    <col min="6935" max="6944" width="9" style="5"/>
    <col min="6945" max="6945" width="11.19921875" style="5" customWidth="1"/>
    <col min="6946" max="6955" width="9" style="5"/>
    <col min="6956" max="6956" width="11.19921875" style="5" customWidth="1"/>
    <col min="6957" max="7178" width="9" style="5"/>
    <col min="7179" max="7179" width="11.19921875" style="5" customWidth="1"/>
    <col min="7180" max="7189" width="9" style="5"/>
    <col min="7190" max="7190" width="11.19921875" style="5" customWidth="1"/>
    <col min="7191" max="7200" width="9" style="5"/>
    <col min="7201" max="7201" width="11.19921875" style="5" customWidth="1"/>
    <col min="7202" max="7211" width="9" style="5"/>
    <col min="7212" max="7212" width="11.19921875" style="5" customWidth="1"/>
    <col min="7213" max="7434" width="9" style="5"/>
    <col min="7435" max="7435" width="11.19921875" style="5" customWidth="1"/>
    <col min="7436" max="7445" width="9" style="5"/>
    <col min="7446" max="7446" width="11.19921875" style="5" customWidth="1"/>
    <col min="7447" max="7456" width="9" style="5"/>
    <col min="7457" max="7457" width="11.19921875" style="5" customWidth="1"/>
    <col min="7458" max="7467" width="9" style="5"/>
    <col min="7468" max="7468" width="11.19921875" style="5" customWidth="1"/>
    <col min="7469" max="7690" width="9" style="5"/>
    <col min="7691" max="7691" width="11.19921875" style="5" customWidth="1"/>
    <col min="7692" max="7701" width="9" style="5"/>
    <col min="7702" max="7702" width="11.19921875" style="5" customWidth="1"/>
    <col min="7703" max="7712" width="9" style="5"/>
    <col min="7713" max="7713" width="11.19921875" style="5" customWidth="1"/>
    <col min="7714" max="7723" width="9" style="5"/>
    <col min="7724" max="7724" width="11.19921875" style="5" customWidth="1"/>
    <col min="7725" max="7946" width="9" style="5"/>
    <col min="7947" max="7947" width="11.19921875" style="5" customWidth="1"/>
    <col min="7948" max="7957" width="9" style="5"/>
    <col min="7958" max="7958" width="11.19921875" style="5" customWidth="1"/>
    <col min="7959" max="7968" width="9" style="5"/>
    <col min="7969" max="7969" width="11.19921875" style="5" customWidth="1"/>
    <col min="7970" max="7979" width="9" style="5"/>
    <col min="7980" max="7980" width="11.19921875" style="5" customWidth="1"/>
    <col min="7981" max="8202" width="9" style="5"/>
    <col min="8203" max="8203" width="11.19921875" style="5" customWidth="1"/>
    <col min="8204" max="8213" width="9" style="5"/>
    <col min="8214" max="8214" width="11.19921875" style="5" customWidth="1"/>
    <col min="8215" max="8224" width="9" style="5"/>
    <col min="8225" max="8225" width="11.19921875" style="5" customWidth="1"/>
    <col min="8226" max="8235" width="9" style="5"/>
    <col min="8236" max="8236" width="11.19921875" style="5" customWidth="1"/>
    <col min="8237" max="8458" width="9" style="5"/>
    <col min="8459" max="8459" width="11.19921875" style="5" customWidth="1"/>
    <col min="8460" max="8469" width="9" style="5"/>
    <col min="8470" max="8470" width="11.19921875" style="5" customWidth="1"/>
    <col min="8471" max="8480" width="9" style="5"/>
    <col min="8481" max="8481" width="11.19921875" style="5" customWidth="1"/>
    <col min="8482" max="8491" width="9" style="5"/>
    <col min="8492" max="8492" width="11.19921875" style="5" customWidth="1"/>
    <col min="8493" max="8714" width="9" style="5"/>
    <col min="8715" max="8715" width="11.19921875" style="5" customWidth="1"/>
    <col min="8716" max="8725" width="9" style="5"/>
    <col min="8726" max="8726" width="11.19921875" style="5" customWidth="1"/>
    <col min="8727" max="8736" width="9" style="5"/>
    <col min="8737" max="8737" width="11.19921875" style="5" customWidth="1"/>
    <col min="8738" max="8747" width="9" style="5"/>
    <col min="8748" max="8748" width="11.19921875" style="5" customWidth="1"/>
    <col min="8749" max="8970" width="9" style="5"/>
    <col min="8971" max="8971" width="11.19921875" style="5" customWidth="1"/>
    <col min="8972" max="8981" width="9" style="5"/>
    <col min="8982" max="8982" width="11.19921875" style="5" customWidth="1"/>
    <col min="8983" max="8992" width="9" style="5"/>
    <col min="8993" max="8993" width="11.19921875" style="5" customWidth="1"/>
    <col min="8994" max="9003" width="9" style="5"/>
    <col min="9004" max="9004" width="11.19921875" style="5" customWidth="1"/>
    <col min="9005" max="9226" width="9" style="5"/>
    <col min="9227" max="9227" width="11.19921875" style="5" customWidth="1"/>
    <col min="9228" max="9237" width="9" style="5"/>
    <col min="9238" max="9238" width="11.19921875" style="5" customWidth="1"/>
    <col min="9239" max="9248" width="9" style="5"/>
    <col min="9249" max="9249" width="11.19921875" style="5" customWidth="1"/>
    <col min="9250" max="9259" width="9" style="5"/>
    <col min="9260" max="9260" width="11.19921875" style="5" customWidth="1"/>
    <col min="9261" max="9482" width="9" style="5"/>
    <col min="9483" max="9483" width="11.19921875" style="5" customWidth="1"/>
    <col min="9484" max="9493" width="9" style="5"/>
    <col min="9494" max="9494" width="11.19921875" style="5" customWidth="1"/>
    <col min="9495" max="9504" width="9" style="5"/>
    <col min="9505" max="9505" width="11.19921875" style="5" customWidth="1"/>
    <col min="9506" max="9515" width="9" style="5"/>
    <col min="9516" max="9516" width="11.19921875" style="5" customWidth="1"/>
    <col min="9517" max="9738" width="9" style="5"/>
    <col min="9739" max="9739" width="11.19921875" style="5" customWidth="1"/>
    <col min="9740" max="9749" width="9" style="5"/>
    <col min="9750" max="9750" width="11.19921875" style="5" customWidth="1"/>
    <col min="9751" max="9760" width="9" style="5"/>
    <col min="9761" max="9761" width="11.19921875" style="5" customWidth="1"/>
    <col min="9762" max="9771" width="9" style="5"/>
    <col min="9772" max="9772" width="11.19921875" style="5" customWidth="1"/>
    <col min="9773" max="9994" width="9" style="5"/>
    <col min="9995" max="9995" width="11.19921875" style="5" customWidth="1"/>
    <col min="9996" max="10005" width="9" style="5"/>
    <col min="10006" max="10006" width="11.19921875" style="5" customWidth="1"/>
    <col min="10007" max="10016" width="9" style="5"/>
    <col min="10017" max="10017" width="11.19921875" style="5" customWidth="1"/>
    <col min="10018" max="10027" width="9" style="5"/>
    <col min="10028" max="10028" width="11.19921875" style="5" customWidth="1"/>
    <col min="10029" max="10250" width="9" style="5"/>
    <col min="10251" max="10251" width="11.19921875" style="5" customWidth="1"/>
    <col min="10252" max="10261" width="9" style="5"/>
    <col min="10262" max="10262" width="11.19921875" style="5" customWidth="1"/>
    <col min="10263" max="10272" width="9" style="5"/>
    <col min="10273" max="10273" width="11.19921875" style="5" customWidth="1"/>
    <col min="10274" max="10283" width="9" style="5"/>
    <col min="10284" max="10284" width="11.19921875" style="5" customWidth="1"/>
    <col min="10285" max="10506" width="9" style="5"/>
    <col min="10507" max="10507" width="11.19921875" style="5" customWidth="1"/>
    <col min="10508" max="10517" width="9" style="5"/>
    <col min="10518" max="10518" width="11.19921875" style="5" customWidth="1"/>
    <col min="10519" max="10528" width="9" style="5"/>
    <col min="10529" max="10529" width="11.19921875" style="5" customWidth="1"/>
    <col min="10530" max="10539" width="9" style="5"/>
    <col min="10540" max="10540" width="11.19921875" style="5" customWidth="1"/>
    <col min="10541" max="10762" width="9" style="5"/>
    <col min="10763" max="10763" width="11.19921875" style="5" customWidth="1"/>
    <col min="10764" max="10773" width="9" style="5"/>
    <col min="10774" max="10774" width="11.19921875" style="5" customWidth="1"/>
    <col min="10775" max="10784" width="9" style="5"/>
    <col min="10785" max="10785" width="11.19921875" style="5" customWidth="1"/>
    <col min="10786" max="10795" width="9" style="5"/>
    <col min="10796" max="10796" width="11.19921875" style="5" customWidth="1"/>
    <col min="10797" max="11018" width="9" style="5"/>
    <col min="11019" max="11019" width="11.19921875" style="5" customWidth="1"/>
    <col min="11020" max="11029" width="9" style="5"/>
    <col min="11030" max="11030" width="11.19921875" style="5" customWidth="1"/>
    <col min="11031" max="11040" width="9" style="5"/>
    <col min="11041" max="11041" width="11.19921875" style="5" customWidth="1"/>
    <col min="11042" max="11051" width="9" style="5"/>
    <col min="11052" max="11052" width="11.19921875" style="5" customWidth="1"/>
    <col min="11053" max="11274" width="9" style="5"/>
    <col min="11275" max="11275" width="11.19921875" style="5" customWidth="1"/>
    <col min="11276" max="11285" width="9" style="5"/>
    <col min="11286" max="11286" width="11.19921875" style="5" customWidth="1"/>
    <col min="11287" max="11296" width="9" style="5"/>
    <col min="11297" max="11297" width="11.19921875" style="5" customWidth="1"/>
    <col min="11298" max="11307" width="9" style="5"/>
    <col min="11308" max="11308" width="11.19921875" style="5" customWidth="1"/>
    <col min="11309" max="11530" width="9" style="5"/>
    <col min="11531" max="11531" width="11.19921875" style="5" customWidth="1"/>
    <col min="11532" max="11541" width="9" style="5"/>
    <col min="11542" max="11542" width="11.19921875" style="5" customWidth="1"/>
    <col min="11543" max="11552" width="9" style="5"/>
    <col min="11553" max="11553" width="11.19921875" style="5" customWidth="1"/>
    <col min="11554" max="11563" width="9" style="5"/>
    <col min="11564" max="11564" width="11.19921875" style="5" customWidth="1"/>
    <col min="11565" max="11786" width="9" style="5"/>
    <col min="11787" max="11787" width="11.19921875" style="5" customWidth="1"/>
    <col min="11788" max="11797" width="9" style="5"/>
    <col min="11798" max="11798" width="11.19921875" style="5" customWidth="1"/>
    <col min="11799" max="11808" width="9" style="5"/>
    <col min="11809" max="11809" width="11.19921875" style="5" customWidth="1"/>
    <col min="11810" max="11819" width="9" style="5"/>
    <col min="11820" max="11820" width="11.19921875" style="5" customWidth="1"/>
    <col min="11821" max="12042" width="9" style="5"/>
    <col min="12043" max="12043" width="11.19921875" style="5" customWidth="1"/>
    <col min="12044" max="12053" width="9" style="5"/>
    <col min="12054" max="12054" width="11.19921875" style="5" customWidth="1"/>
    <col min="12055" max="12064" width="9" style="5"/>
    <col min="12065" max="12065" width="11.19921875" style="5" customWidth="1"/>
    <col min="12066" max="12075" width="9" style="5"/>
    <col min="12076" max="12076" width="11.19921875" style="5" customWidth="1"/>
    <col min="12077" max="12298" width="9" style="5"/>
    <col min="12299" max="12299" width="11.19921875" style="5" customWidth="1"/>
    <col min="12300" max="12309" width="9" style="5"/>
    <col min="12310" max="12310" width="11.19921875" style="5" customWidth="1"/>
    <col min="12311" max="12320" width="9" style="5"/>
    <col min="12321" max="12321" width="11.19921875" style="5" customWidth="1"/>
    <col min="12322" max="12331" width="9" style="5"/>
    <col min="12332" max="12332" width="11.19921875" style="5" customWidth="1"/>
    <col min="12333" max="12554" width="9" style="5"/>
    <col min="12555" max="12555" width="11.19921875" style="5" customWidth="1"/>
    <col min="12556" max="12565" width="9" style="5"/>
    <col min="12566" max="12566" width="11.19921875" style="5" customWidth="1"/>
    <col min="12567" max="12576" width="9" style="5"/>
    <col min="12577" max="12577" width="11.19921875" style="5" customWidth="1"/>
    <col min="12578" max="12587" width="9" style="5"/>
    <col min="12588" max="12588" width="11.19921875" style="5" customWidth="1"/>
    <col min="12589" max="12810" width="9" style="5"/>
    <col min="12811" max="12811" width="11.19921875" style="5" customWidth="1"/>
    <col min="12812" max="12821" width="9" style="5"/>
    <col min="12822" max="12822" width="11.19921875" style="5" customWidth="1"/>
    <col min="12823" max="12832" width="9" style="5"/>
    <col min="12833" max="12833" width="11.19921875" style="5" customWidth="1"/>
    <col min="12834" max="12843" width="9" style="5"/>
    <col min="12844" max="12844" width="11.19921875" style="5" customWidth="1"/>
    <col min="12845" max="13066" width="9" style="5"/>
    <col min="13067" max="13067" width="11.19921875" style="5" customWidth="1"/>
    <col min="13068" max="13077" width="9" style="5"/>
    <col min="13078" max="13078" width="11.19921875" style="5" customWidth="1"/>
    <col min="13079" max="13088" width="9" style="5"/>
    <col min="13089" max="13089" width="11.19921875" style="5" customWidth="1"/>
    <col min="13090" max="13099" width="9" style="5"/>
    <col min="13100" max="13100" width="11.19921875" style="5" customWidth="1"/>
    <col min="13101" max="13322" width="9" style="5"/>
    <col min="13323" max="13323" width="11.19921875" style="5" customWidth="1"/>
    <col min="13324" max="13333" width="9" style="5"/>
    <col min="13334" max="13334" width="11.19921875" style="5" customWidth="1"/>
    <col min="13335" max="13344" width="9" style="5"/>
    <col min="13345" max="13345" width="11.19921875" style="5" customWidth="1"/>
    <col min="13346" max="13355" width="9" style="5"/>
    <col min="13356" max="13356" width="11.19921875" style="5" customWidth="1"/>
    <col min="13357" max="13578" width="9" style="5"/>
    <col min="13579" max="13579" width="11.19921875" style="5" customWidth="1"/>
    <col min="13580" max="13589" width="9" style="5"/>
    <col min="13590" max="13590" width="11.19921875" style="5" customWidth="1"/>
    <col min="13591" max="13600" width="9" style="5"/>
    <col min="13601" max="13601" width="11.19921875" style="5" customWidth="1"/>
    <col min="13602" max="13611" width="9" style="5"/>
    <col min="13612" max="13612" width="11.19921875" style="5" customWidth="1"/>
    <col min="13613" max="13834" width="9" style="5"/>
    <col min="13835" max="13835" width="11.19921875" style="5" customWidth="1"/>
    <col min="13836" max="13845" width="9" style="5"/>
    <col min="13846" max="13846" width="11.19921875" style="5" customWidth="1"/>
    <col min="13847" max="13856" width="9" style="5"/>
    <col min="13857" max="13857" width="11.19921875" style="5" customWidth="1"/>
    <col min="13858" max="13867" width="9" style="5"/>
    <col min="13868" max="13868" width="11.19921875" style="5" customWidth="1"/>
    <col min="13869" max="14090" width="9" style="5"/>
    <col min="14091" max="14091" width="11.19921875" style="5" customWidth="1"/>
    <col min="14092" max="14101" width="9" style="5"/>
    <col min="14102" max="14102" width="11.19921875" style="5" customWidth="1"/>
    <col min="14103" max="14112" width="9" style="5"/>
    <col min="14113" max="14113" width="11.19921875" style="5" customWidth="1"/>
    <col min="14114" max="14123" width="9" style="5"/>
    <col min="14124" max="14124" width="11.19921875" style="5" customWidth="1"/>
    <col min="14125" max="14346" width="9" style="5"/>
    <col min="14347" max="14347" width="11.19921875" style="5" customWidth="1"/>
    <col min="14348" max="14357" width="9" style="5"/>
    <col min="14358" max="14358" width="11.19921875" style="5" customWidth="1"/>
    <col min="14359" max="14368" width="9" style="5"/>
    <col min="14369" max="14369" width="11.19921875" style="5" customWidth="1"/>
    <col min="14370" max="14379" width="9" style="5"/>
    <col min="14380" max="14380" width="11.19921875" style="5" customWidth="1"/>
    <col min="14381" max="14602" width="9" style="5"/>
    <col min="14603" max="14603" width="11.19921875" style="5" customWidth="1"/>
    <col min="14604" max="14613" width="9" style="5"/>
    <col min="14614" max="14614" width="11.19921875" style="5" customWidth="1"/>
    <col min="14615" max="14624" width="9" style="5"/>
    <col min="14625" max="14625" width="11.19921875" style="5" customWidth="1"/>
    <col min="14626" max="14635" width="9" style="5"/>
    <col min="14636" max="14636" width="11.19921875" style="5" customWidth="1"/>
    <col min="14637" max="14858" width="9" style="5"/>
    <col min="14859" max="14859" width="11.19921875" style="5" customWidth="1"/>
    <col min="14860" max="14869" width="9" style="5"/>
    <col min="14870" max="14870" width="11.19921875" style="5" customWidth="1"/>
    <col min="14871" max="14880" width="9" style="5"/>
    <col min="14881" max="14881" width="11.19921875" style="5" customWidth="1"/>
    <col min="14882" max="14891" width="9" style="5"/>
    <col min="14892" max="14892" width="11.19921875" style="5" customWidth="1"/>
    <col min="14893" max="15114" width="9" style="5"/>
    <col min="15115" max="15115" width="11.19921875" style="5" customWidth="1"/>
    <col min="15116" max="15125" width="9" style="5"/>
    <col min="15126" max="15126" width="11.19921875" style="5" customWidth="1"/>
    <col min="15127" max="15136" width="9" style="5"/>
    <col min="15137" max="15137" width="11.19921875" style="5" customWidth="1"/>
    <col min="15138" max="15147" width="9" style="5"/>
    <col min="15148" max="15148" width="11.19921875" style="5" customWidth="1"/>
    <col min="15149" max="15370" width="9" style="5"/>
    <col min="15371" max="15371" width="11.19921875" style="5" customWidth="1"/>
    <col min="15372" max="15381" width="9" style="5"/>
    <col min="15382" max="15382" width="11.19921875" style="5" customWidth="1"/>
    <col min="15383" max="15392" width="9" style="5"/>
    <col min="15393" max="15393" width="11.19921875" style="5" customWidth="1"/>
    <col min="15394" max="15403" width="9" style="5"/>
    <col min="15404" max="15404" width="11.19921875" style="5" customWidth="1"/>
    <col min="15405" max="15626" width="9" style="5"/>
    <col min="15627" max="15627" width="11.19921875" style="5" customWidth="1"/>
    <col min="15628" max="15637" width="9" style="5"/>
    <col min="15638" max="15638" width="11.19921875" style="5" customWidth="1"/>
    <col min="15639" max="15648" width="9" style="5"/>
    <col min="15649" max="15649" width="11.19921875" style="5" customWidth="1"/>
    <col min="15650" max="15659" width="9" style="5"/>
    <col min="15660" max="15660" width="11.19921875" style="5" customWidth="1"/>
    <col min="15661" max="15882" width="9" style="5"/>
    <col min="15883" max="15883" width="11.19921875" style="5" customWidth="1"/>
    <col min="15884" max="15893" width="9" style="5"/>
    <col min="15894" max="15894" width="11.19921875" style="5" customWidth="1"/>
    <col min="15895" max="15904" width="9" style="5"/>
    <col min="15905" max="15905" width="11.19921875" style="5" customWidth="1"/>
    <col min="15906" max="15915" width="9" style="5"/>
    <col min="15916" max="15916" width="11.19921875" style="5" customWidth="1"/>
    <col min="15917" max="16138" width="9" style="5"/>
    <col min="16139" max="16139" width="11.19921875" style="5" customWidth="1"/>
    <col min="16140" max="16149" width="9" style="5"/>
    <col min="16150" max="16150" width="11.19921875" style="5" customWidth="1"/>
    <col min="16151" max="16160" width="9" style="5"/>
    <col min="16161" max="16161" width="11.19921875" style="5" customWidth="1"/>
    <col min="16162" max="16171" width="9" style="5"/>
    <col min="16172" max="16172" width="11.19921875" style="5" customWidth="1"/>
    <col min="16173" max="16384" width="9" style="5"/>
  </cols>
  <sheetData>
    <row r="1" spans="1:44" ht="13.5" customHeight="1" x14ac:dyDescent="0.35">
      <c r="A1" s="1"/>
      <c r="B1" s="1"/>
      <c r="C1" s="2"/>
      <c r="D1" s="268" t="s">
        <v>20</v>
      </c>
      <c r="E1" s="268"/>
      <c r="F1" s="268"/>
      <c r="G1" s="268"/>
      <c r="H1" s="268"/>
      <c r="I1" s="267" t="s">
        <v>432</v>
      </c>
      <c r="J1" s="267"/>
      <c r="K1" s="179">
        <f>基本情報!$B$2</f>
        <v>0</v>
      </c>
      <c r="L1" s="4"/>
      <c r="M1" s="2"/>
      <c r="N1" s="2"/>
      <c r="O1" s="268" t="s">
        <v>20</v>
      </c>
      <c r="P1" s="268"/>
      <c r="Q1" s="268"/>
      <c r="R1" s="268"/>
      <c r="S1" s="268"/>
      <c r="T1" s="267" t="s">
        <v>432</v>
      </c>
      <c r="U1" s="267"/>
      <c r="V1" s="179">
        <f>基本情報!$B$2</f>
        <v>0</v>
      </c>
      <c r="W1" s="4"/>
      <c r="X1" s="2"/>
      <c r="Y1" s="2"/>
      <c r="Z1" s="268" t="s">
        <v>20</v>
      </c>
      <c r="AA1" s="268"/>
      <c r="AB1" s="268"/>
      <c r="AC1" s="268"/>
      <c r="AD1" s="268"/>
      <c r="AE1" s="267" t="s">
        <v>432</v>
      </c>
      <c r="AF1" s="267"/>
      <c r="AG1" s="179">
        <f>基本情報!$B$2</f>
        <v>0</v>
      </c>
      <c r="AH1" s="4"/>
      <c r="AI1" s="2"/>
      <c r="AJ1" s="2"/>
      <c r="AK1" s="268" t="s">
        <v>20</v>
      </c>
      <c r="AL1" s="268"/>
      <c r="AM1" s="268"/>
      <c r="AN1" s="268"/>
      <c r="AO1" s="268"/>
      <c r="AP1" s="267" t="s">
        <v>432</v>
      </c>
      <c r="AQ1" s="267"/>
      <c r="AR1" s="179">
        <f>基本情報!$B$2</f>
        <v>0</v>
      </c>
    </row>
    <row r="2" spans="1:44" ht="21.75" customHeight="1" x14ac:dyDescent="0.35">
      <c r="A2" s="1"/>
      <c r="B2" s="1"/>
      <c r="C2" s="6"/>
      <c r="D2" s="268"/>
      <c r="E2" s="268"/>
      <c r="F2" s="268"/>
      <c r="G2" s="268"/>
      <c r="H2" s="268"/>
      <c r="I2" s="178"/>
      <c r="J2" s="180" t="s">
        <v>433</v>
      </c>
      <c r="K2" s="181">
        <f>基本情報!$B$3</f>
        <v>0</v>
      </c>
      <c r="L2" s="2"/>
      <c r="M2" s="2"/>
      <c r="N2" s="6"/>
      <c r="O2" s="268"/>
      <c r="P2" s="268"/>
      <c r="Q2" s="268"/>
      <c r="R2" s="268"/>
      <c r="S2" s="268"/>
      <c r="T2" s="178"/>
      <c r="U2" s="180" t="s">
        <v>433</v>
      </c>
      <c r="V2" s="181">
        <f>基本情報!$B$3</f>
        <v>0</v>
      </c>
      <c r="W2" s="2"/>
      <c r="X2" s="2"/>
      <c r="Y2" s="6"/>
      <c r="Z2" s="268"/>
      <c r="AA2" s="268"/>
      <c r="AB2" s="268"/>
      <c r="AC2" s="268"/>
      <c r="AD2" s="268"/>
      <c r="AE2" s="178"/>
      <c r="AF2" s="180" t="s">
        <v>433</v>
      </c>
      <c r="AG2" s="181">
        <f>基本情報!$B$3</f>
        <v>0</v>
      </c>
      <c r="AH2" s="2"/>
      <c r="AI2" s="2"/>
      <c r="AJ2" s="6"/>
      <c r="AK2" s="268"/>
      <c r="AL2" s="268"/>
      <c r="AM2" s="268"/>
      <c r="AN2" s="268"/>
      <c r="AO2" s="268"/>
      <c r="AP2" s="178"/>
      <c r="AQ2" s="180" t="s">
        <v>433</v>
      </c>
      <c r="AR2" s="181">
        <f>基本情報!$B$3</f>
        <v>0</v>
      </c>
    </row>
    <row r="3" spans="1:44" ht="12.75" customHeight="1" x14ac:dyDescent="0.2">
      <c r="A3" s="7"/>
      <c r="B3" s="80"/>
      <c r="C3" s="274"/>
      <c r="D3" s="274"/>
      <c r="E3" s="7"/>
      <c r="F3" s="80"/>
      <c r="G3" s="275"/>
      <c r="H3" s="275"/>
      <c r="I3" s="275"/>
      <c r="J3" s="8"/>
      <c r="K3" s="177"/>
      <c r="L3" s="7"/>
      <c r="M3" s="80"/>
      <c r="N3" s="274"/>
      <c r="O3" s="274"/>
      <c r="P3" s="7"/>
      <c r="Q3" s="80"/>
      <c r="R3" s="275"/>
      <c r="S3" s="275"/>
      <c r="T3" s="275"/>
      <c r="U3" s="8"/>
      <c r="V3" s="9"/>
      <c r="W3" s="7"/>
      <c r="X3" s="80"/>
      <c r="Y3" s="274"/>
      <c r="Z3" s="274"/>
      <c r="AA3" s="7"/>
      <c r="AB3" s="80"/>
      <c r="AC3" s="275"/>
      <c r="AD3" s="275"/>
      <c r="AE3" s="275"/>
      <c r="AF3" s="8"/>
      <c r="AG3" s="9"/>
      <c r="AH3" s="7"/>
      <c r="AI3" s="80"/>
      <c r="AJ3" s="274"/>
      <c r="AK3" s="274"/>
      <c r="AL3" s="7"/>
      <c r="AM3" s="80"/>
      <c r="AN3" s="275"/>
      <c r="AO3" s="275"/>
      <c r="AP3" s="275"/>
      <c r="AQ3" s="8"/>
      <c r="AR3" s="9"/>
    </row>
    <row r="4" spans="1:44" ht="13.5" customHeight="1" x14ac:dyDescent="0.2">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row>
    <row r="5" spans="1:44" ht="14.25" customHeight="1" x14ac:dyDescent="0.2">
      <c r="A5" s="143" t="s">
        <v>21</v>
      </c>
      <c r="B5" s="276" t="s">
        <v>22</v>
      </c>
      <c r="C5" s="276"/>
      <c r="D5" s="276"/>
      <c r="E5" s="276" t="s">
        <v>23</v>
      </c>
      <c r="F5" s="277"/>
      <c r="G5" s="277"/>
      <c r="H5" s="277"/>
      <c r="I5" s="277"/>
      <c r="J5" s="277"/>
      <c r="K5" s="277"/>
      <c r="L5" s="143" t="s">
        <v>21</v>
      </c>
      <c r="M5" s="276" t="s">
        <v>22</v>
      </c>
      <c r="N5" s="276"/>
      <c r="O5" s="276"/>
      <c r="P5" s="276" t="s">
        <v>23</v>
      </c>
      <c r="Q5" s="277"/>
      <c r="R5" s="277"/>
      <c r="S5" s="277"/>
      <c r="T5" s="277"/>
      <c r="U5" s="277"/>
      <c r="V5" s="277"/>
      <c r="W5" s="143" t="s">
        <v>21</v>
      </c>
      <c r="X5" s="276" t="s">
        <v>22</v>
      </c>
      <c r="Y5" s="276"/>
      <c r="Z5" s="276"/>
      <c r="AA5" s="276" t="s">
        <v>23</v>
      </c>
      <c r="AB5" s="277"/>
      <c r="AC5" s="277"/>
      <c r="AD5" s="277"/>
      <c r="AE5" s="277"/>
      <c r="AF5" s="277"/>
      <c r="AG5" s="277"/>
      <c r="AH5" s="143" t="s">
        <v>21</v>
      </c>
      <c r="AI5" s="276" t="s">
        <v>22</v>
      </c>
      <c r="AJ5" s="276"/>
      <c r="AK5" s="276"/>
      <c r="AL5" s="276" t="s">
        <v>23</v>
      </c>
      <c r="AM5" s="277"/>
      <c r="AN5" s="277"/>
      <c r="AO5" s="277"/>
      <c r="AP5" s="277"/>
      <c r="AQ5" s="277"/>
      <c r="AR5" s="277"/>
    </row>
    <row r="6" spans="1:44" ht="12.6" customHeight="1" x14ac:dyDescent="0.2">
      <c r="A6" s="272" t="str">
        <f>IF(計算シート!$M$78&gt;=1,1,"")</f>
        <v/>
      </c>
      <c r="B6" s="269" t="str">
        <f>IF(A6="","",INDEX(計算シート!$E$2:$M$77,MATCH(A6,計算シート!$E$2:$E$77,0),2))</f>
        <v/>
      </c>
      <c r="C6" s="270"/>
      <c r="D6" s="270"/>
      <c r="E6" s="269" t="str">
        <f>IF(A6="","",INDEX(計算シート!$E$2:$M$77,MATCH(A6,計算シート!$E$2:$E$77,0),3))</f>
        <v/>
      </c>
      <c r="F6" s="270"/>
      <c r="G6" s="270"/>
      <c r="H6" s="270"/>
      <c r="I6" s="270"/>
      <c r="J6" s="270"/>
      <c r="K6" s="270"/>
      <c r="L6" s="272" t="str">
        <f>IF(計算シート!$M$78&gt;=13,13,"")</f>
        <v/>
      </c>
      <c r="M6" s="269" t="str">
        <f>IF(L6="","",INDEX(計算シート!$E$2:$M$77,MATCH(L6,計算シート!$E$2:$E$77,0),2))</f>
        <v/>
      </c>
      <c r="N6" s="270"/>
      <c r="O6" s="270"/>
      <c r="P6" s="269" t="str">
        <f>IF(L6="","",INDEX(計算シート!$E$2:$M$77,MATCH(L6,計算シート!$E$2:$E$77,0),3))</f>
        <v/>
      </c>
      <c r="Q6" s="270"/>
      <c r="R6" s="270"/>
      <c r="S6" s="270"/>
      <c r="T6" s="270"/>
      <c r="U6" s="270"/>
      <c r="V6" s="270"/>
      <c r="W6" s="272" t="str">
        <f>IF(計算シート!$M$78&gt;=25,25,"")</f>
        <v/>
      </c>
      <c r="X6" s="269" t="str">
        <f>IF(W6="","",INDEX(計算シート!$E$2:$M$77,MATCH(W6,計算シート!$E$2:$E$77,0),2))</f>
        <v/>
      </c>
      <c r="Y6" s="270"/>
      <c r="Z6" s="270"/>
      <c r="AA6" s="269" t="str">
        <f>IF(W6="","",INDEX(計算シート!$E$2:$M$77,MATCH(W6,計算シート!$E$2:$E$77,0),3))</f>
        <v/>
      </c>
      <c r="AB6" s="270"/>
      <c r="AC6" s="270"/>
      <c r="AD6" s="270"/>
      <c r="AE6" s="270"/>
      <c r="AF6" s="270"/>
      <c r="AG6" s="270"/>
      <c r="AH6" s="272" t="str">
        <f>IF(計算シート!$M$78&gt;=37,37,"")</f>
        <v/>
      </c>
      <c r="AI6" s="269" t="str">
        <f>IF(AH6="","",INDEX(計算シート!$E$2:$M$77,MATCH(AH6,計算シート!$E$2:$E$77,0),2))</f>
        <v/>
      </c>
      <c r="AJ6" s="270"/>
      <c r="AK6" s="270"/>
      <c r="AL6" s="269" t="str">
        <f>IF(AH6="","",INDEX(計算シート!$E$2:$M$77,MATCH(AH6,計算シート!$E$2:$E$77,0),3))</f>
        <v/>
      </c>
      <c r="AM6" s="270"/>
      <c r="AN6" s="270"/>
      <c r="AO6" s="270"/>
      <c r="AP6" s="270"/>
      <c r="AQ6" s="270"/>
      <c r="AR6" s="270"/>
    </row>
    <row r="7" spans="1:44" ht="10.5" customHeight="1" x14ac:dyDescent="0.2">
      <c r="A7" s="273"/>
      <c r="B7" s="271"/>
      <c r="C7" s="271"/>
      <c r="D7" s="271"/>
      <c r="E7" s="271"/>
      <c r="F7" s="271"/>
      <c r="G7" s="271"/>
      <c r="H7" s="271"/>
      <c r="I7" s="271"/>
      <c r="J7" s="271"/>
      <c r="K7" s="271"/>
      <c r="L7" s="273"/>
      <c r="M7" s="271"/>
      <c r="N7" s="271"/>
      <c r="O7" s="271"/>
      <c r="P7" s="271"/>
      <c r="Q7" s="271"/>
      <c r="R7" s="271"/>
      <c r="S7" s="271"/>
      <c r="T7" s="271"/>
      <c r="U7" s="271"/>
      <c r="V7" s="271"/>
      <c r="W7" s="273"/>
      <c r="X7" s="271"/>
      <c r="Y7" s="271"/>
      <c r="Z7" s="271"/>
      <c r="AA7" s="271"/>
      <c r="AB7" s="271"/>
      <c r="AC7" s="271"/>
      <c r="AD7" s="271"/>
      <c r="AE7" s="271"/>
      <c r="AF7" s="271"/>
      <c r="AG7" s="271"/>
      <c r="AH7" s="273"/>
      <c r="AI7" s="271"/>
      <c r="AJ7" s="271"/>
      <c r="AK7" s="271"/>
      <c r="AL7" s="271"/>
      <c r="AM7" s="271"/>
      <c r="AN7" s="271"/>
      <c r="AO7" s="271"/>
      <c r="AP7" s="271"/>
      <c r="AQ7" s="271"/>
      <c r="AR7" s="271"/>
    </row>
    <row r="8" spans="1:44" ht="12" customHeight="1" x14ac:dyDescent="0.2">
      <c r="A8" s="278" t="str">
        <f>IF(A6="","",INDEX(計算シート!$E$2:$M$77,MATCH(A6,計算シート!$E$2:$E$77,0),9))</f>
        <v/>
      </c>
      <c r="B8" s="279"/>
      <c r="C8" s="279"/>
      <c r="D8" s="279"/>
      <c r="E8" s="279"/>
      <c r="F8" s="279"/>
      <c r="G8" s="279"/>
      <c r="H8" s="279"/>
      <c r="I8" s="279"/>
      <c r="J8" s="279"/>
      <c r="K8" s="280"/>
      <c r="L8" s="278" t="str">
        <f>IF(L6="","",INDEX(計算シート!$E$2:$M$77,MATCH(L6,計算シート!$E$2:$E$77,0),9))</f>
        <v/>
      </c>
      <c r="M8" s="279"/>
      <c r="N8" s="279"/>
      <c r="O8" s="279"/>
      <c r="P8" s="279"/>
      <c r="Q8" s="279"/>
      <c r="R8" s="279"/>
      <c r="S8" s="279"/>
      <c r="T8" s="279"/>
      <c r="U8" s="279"/>
      <c r="V8" s="280"/>
      <c r="W8" s="278" t="str">
        <f>IF(W6="","",INDEX(計算シート!$E$2:$M$77,MATCH(W6,計算シート!$E$2:$E$77,0),9))</f>
        <v/>
      </c>
      <c r="X8" s="279"/>
      <c r="Y8" s="279"/>
      <c r="Z8" s="279"/>
      <c r="AA8" s="279"/>
      <c r="AB8" s="279"/>
      <c r="AC8" s="279"/>
      <c r="AD8" s="279"/>
      <c r="AE8" s="279"/>
      <c r="AF8" s="279"/>
      <c r="AG8" s="280"/>
      <c r="AH8" s="278" t="str">
        <f>IF(AH6="","",INDEX(計算シート!$E$2:$M$77,MATCH(AH6,計算シート!$E$2:$E$77,0),9))</f>
        <v/>
      </c>
      <c r="AI8" s="279"/>
      <c r="AJ8" s="279"/>
      <c r="AK8" s="279"/>
      <c r="AL8" s="279"/>
      <c r="AM8" s="279"/>
      <c r="AN8" s="279"/>
      <c r="AO8" s="279"/>
      <c r="AP8" s="279"/>
      <c r="AQ8" s="279"/>
      <c r="AR8" s="280"/>
    </row>
    <row r="9" spans="1:44" ht="10.5" customHeight="1" x14ac:dyDescent="0.2">
      <c r="A9" s="281"/>
      <c r="B9" s="282"/>
      <c r="C9" s="282"/>
      <c r="D9" s="282"/>
      <c r="E9" s="282"/>
      <c r="F9" s="282"/>
      <c r="G9" s="282"/>
      <c r="H9" s="282"/>
      <c r="I9" s="282"/>
      <c r="J9" s="282"/>
      <c r="K9" s="283"/>
      <c r="L9" s="281"/>
      <c r="M9" s="282"/>
      <c r="N9" s="282"/>
      <c r="O9" s="282"/>
      <c r="P9" s="282"/>
      <c r="Q9" s="282"/>
      <c r="R9" s="282"/>
      <c r="S9" s="282"/>
      <c r="T9" s="282"/>
      <c r="U9" s="282"/>
      <c r="V9" s="283"/>
      <c r="W9" s="281"/>
      <c r="X9" s="282"/>
      <c r="Y9" s="282"/>
      <c r="Z9" s="282"/>
      <c r="AA9" s="282"/>
      <c r="AB9" s="282"/>
      <c r="AC9" s="282"/>
      <c r="AD9" s="282"/>
      <c r="AE9" s="282"/>
      <c r="AF9" s="282"/>
      <c r="AG9" s="283"/>
      <c r="AH9" s="281"/>
      <c r="AI9" s="282"/>
      <c r="AJ9" s="282"/>
      <c r="AK9" s="282"/>
      <c r="AL9" s="282"/>
      <c r="AM9" s="282"/>
      <c r="AN9" s="282"/>
      <c r="AO9" s="282"/>
      <c r="AP9" s="282"/>
      <c r="AQ9" s="282"/>
      <c r="AR9" s="283"/>
    </row>
    <row r="10" spans="1:44" ht="10.5" customHeight="1" x14ac:dyDescent="0.2">
      <c r="A10" s="281"/>
      <c r="B10" s="282"/>
      <c r="C10" s="282"/>
      <c r="D10" s="282"/>
      <c r="E10" s="282"/>
      <c r="F10" s="282"/>
      <c r="G10" s="282"/>
      <c r="H10" s="282"/>
      <c r="I10" s="282"/>
      <c r="J10" s="282"/>
      <c r="K10" s="283"/>
      <c r="L10" s="281"/>
      <c r="M10" s="282"/>
      <c r="N10" s="282"/>
      <c r="O10" s="282"/>
      <c r="P10" s="282"/>
      <c r="Q10" s="282"/>
      <c r="R10" s="282"/>
      <c r="S10" s="282"/>
      <c r="T10" s="282"/>
      <c r="U10" s="282"/>
      <c r="V10" s="283"/>
      <c r="W10" s="281"/>
      <c r="X10" s="282"/>
      <c r="Y10" s="282"/>
      <c r="Z10" s="282"/>
      <c r="AA10" s="282"/>
      <c r="AB10" s="282"/>
      <c r="AC10" s="282"/>
      <c r="AD10" s="282"/>
      <c r="AE10" s="282"/>
      <c r="AF10" s="282"/>
      <c r="AG10" s="283"/>
      <c r="AH10" s="281"/>
      <c r="AI10" s="282"/>
      <c r="AJ10" s="282"/>
      <c r="AK10" s="282"/>
      <c r="AL10" s="282"/>
      <c r="AM10" s="282"/>
      <c r="AN10" s="282"/>
      <c r="AO10" s="282"/>
      <c r="AP10" s="282"/>
      <c r="AQ10" s="282"/>
      <c r="AR10" s="283"/>
    </row>
    <row r="11" spans="1:44" ht="10.5" customHeight="1" x14ac:dyDescent="0.2">
      <c r="A11" s="281"/>
      <c r="B11" s="282"/>
      <c r="C11" s="282"/>
      <c r="D11" s="282"/>
      <c r="E11" s="282"/>
      <c r="F11" s="282"/>
      <c r="G11" s="282"/>
      <c r="H11" s="282"/>
      <c r="I11" s="282"/>
      <c r="J11" s="282"/>
      <c r="K11" s="283"/>
      <c r="L11" s="281"/>
      <c r="M11" s="282"/>
      <c r="N11" s="282"/>
      <c r="O11" s="282"/>
      <c r="P11" s="282"/>
      <c r="Q11" s="282"/>
      <c r="R11" s="282"/>
      <c r="S11" s="282"/>
      <c r="T11" s="282"/>
      <c r="U11" s="282"/>
      <c r="V11" s="283"/>
      <c r="W11" s="281"/>
      <c r="X11" s="282"/>
      <c r="Y11" s="282"/>
      <c r="Z11" s="282"/>
      <c r="AA11" s="282"/>
      <c r="AB11" s="282"/>
      <c r="AC11" s="282"/>
      <c r="AD11" s="282"/>
      <c r="AE11" s="282"/>
      <c r="AF11" s="282"/>
      <c r="AG11" s="283"/>
      <c r="AH11" s="281"/>
      <c r="AI11" s="282"/>
      <c r="AJ11" s="282"/>
      <c r="AK11" s="282"/>
      <c r="AL11" s="282"/>
      <c r="AM11" s="282"/>
      <c r="AN11" s="282"/>
      <c r="AO11" s="282"/>
      <c r="AP11" s="282"/>
      <c r="AQ11" s="282"/>
      <c r="AR11" s="283"/>
    </row>
    <row r="12" spans="1:44" ht="10.5" customHeight="1" x14ac:dyDescent="0.2">
      <c r="A12" s="284"/>
      <c r="B12" s="285"/>
      <c r="C12" s="285"/>
      <c r="D12" s="285"/>
      <c r="E12" s="285"/>
      <c r="F12" s="285"/>
      <c r="G12" s="285"/>
      <c r="H12" s="285"/>
      <c r="I12" s="285"/>
      <c r="J12" s="285"/>
      <c r="K12" s="286"/>
      <c r="L12" s="284"/>
      <c r="M12" s="285"/>
      <c r="N12" s="285"/>
      <c r="O12" s="285"/>
      <c r="P12" s="285"/>
      <c r="Q12" s="285"/>
      <c r="R12" s="285"/>
      <c r="S12" s="285"/>
      <c r="T12" s="285"/>
      <c r="U12" s="285"/>
      <c r="V12" s="286"/>
      <c r="W12" s="284"/>
      <c r="X12" s="285"/>
      <c r="Y12" s="285"/>
      <c r="Z12" s="285"/>
      <c r="AA12" s="285"/>
      <c r="AB12" s="285"/>
      <c r="AC12" s="285"/>
      <c r="AD12" s="285"/>
      <c r="AE12" s="285"/>
      <c r="AF12" s="285"/>
      <c r="AG12" s="286"/>
      <c r="AH12" s="284"/>
      <c r="AI12" s="285"/>
      <c r="AJ12" s="285"/>
      <c r="AK12" s="285"/>
      <c r="AL12" s="285"/>
      <c r="AM12" s="285"/>
      <c r="AN12" s="285"/>
      <c r="AO12" s="285"/>
      <c r="AP12" s="285"/>
      <c r="AQ12" s="285"/>
      <c r="AR12" s="286"/>
    </row>
    <row r="13" spans="1:44" ht="10.5" customHeight="1" x14ac:dyDescent="0.2">
      <c r="A13" s="272" t="str">
        <f>IF(計算シート!$M$78&gt;=2,2,"")</f>
        <v/>
      </c>
      <c r="B13" s="269" t="str">
        <f>IF(A13="","",INDEX(計算シート!$E$2:$M$77,MATCH(A13,計算シート!$E$2:$E$77,0),2))</f>
        <v/>
      </c>
      <c r="C13" s="270"/>
      <c r="D13" s="270"/>
      <c r="E13" s="269" t="str">
        <f>IF(A13="","",INDEX(計算シート!$E$2:$M$77,MATCH(A13,計算シート!$E$2:$E$77,0),3))</f>
        <v/>
      </c>
      <c r="F13" s="270"/>
      <c r="G13" s="270"/>
      <c r="H13" s="270"/>
      <c r="I13" s="270"/>
      <c r="J13" s="270"/>
      <c r="K13" s="270"/>
      <c r="L13" s="272" t="str">
        <f>IF(計算シート!$M$78&gt;=14,14,"")</f>
        <v/>
      </c>
      <c r="M13" s="269" t="str">
        <f>IF(L13="","",INDEX(計算シート!$E$2:$M$77,MATCH(L13,計算シート!$E$2:$E$77,0),2))</f>
        <v/>
      </c>
      <c r="N13" s="270"/>
      <c r="O13" s="270"/>
      <c r="P13" s="269" t="str">
        <f>IF(L13="","",INDEX(計算シート!$E$2:$M$77,MATCH(L13,計算シート!$E$2:$E$77,0),3))</f>
        <v/>
      </c>
      <c r="Q13" s="270"/>
      <c r="R13" s="270"/>
      <c r="S13" s="270"/>
      <c r="T13" s="270"/>
      <c r="U13" s="270"/>
      <c r="V13" s="270"/>
      <c r="W13" s="272" t="str">
        <f>IF(計算シート!$M$78&gt;=26,26,"")</f>
        <v/>
      </c>
      <c r="X13" s="269" t="str">
        <f>IF(W13="","",INDEX(計算シート!$E$2:$M$77,MATCH(W13,計算シート!$E$2:$E$77,0),2))</f>
        <v/>
      </c>
      <c r="Y13" s="270"/>
      <c r="Z13" s="270"/>
      <c r="AA13" s="269" t="str">
        <f>IF(W13="","",INDEX(計算シート!$E$2:$M$77,MATCH(W13,計算シート!$E$2:$E$77,0),3))</f>
        <v/>
      </c>
      <c r="AB13" s="270"/>
      <c r="AC13" s="270"/>
      <c r="AD13" s="270"/>
      <c r="AE13" s="270"/>
      <c r="AF13" s="270"/>
      <c r="AG13" s="270"/>
      <c r="AH13" s="272" t="str">
        <f>IF(計算シート!$M$78&gt;=38,38,"")</f>
        <v/>
      </c>
      <c r="AI13" s="269" t="str">
        <f>IF(AH13="","",INDEX(計算シート!$E$2:$M$77,MATCH(AH13,計算シート!$E$2:$E$77,0),2))</f>
        <v/>
      </c>
      <c r="AJ13" s="270"/>
      <c r="AK13" s="270"/>
      <c r="AL13" s="269" t="str">
        <f>IF(AH13="","",INDEX(計算シート!$E$2:$M$77,MATCH(AH13,計算シート!$E$2:$E$77,0),3))</f>
        <v/>
      </c>
      <c r="AM13" s="270"/>
      <c r="AN13" s="270"/>
      <c r="AO13" s="270"/>
      <c r="AP13" s="270"/>
      <c r="AQ13" s="270"/>
      <c r="AR13" s="270"/>
    </row>
    <row r="14" spans="1:44" ht="10.5" customHeight="1" x14ac:dyDescent="0.2">
      <c r="A14" s="273"/>
      <c r="B14" s="271"/>
      <c r="C14" s="271"/>
      <c r="D14" s="271"/>
      <c r="E14" s="271"/>
      <c r="F14" s="271"/>
      <c r="G14" s="271"/>
      <c r="H14" s="271"/>
      <c r="I14" s="271"/>
      <c r="J14" s="271"/>
      <c r="K14" s="271"/>
      <c r="L14" s="273"/>
      <c r="M14" s="271"/>
      <c r="N14" s="271"/>
      <c r="O14" s="271"/>
      <c r="P14" s="271"/>
      <c r="Q14" s="271"/>
      <c r="R14" s="271"/>
      <c r="S14" s="271"/>
      <c r="T14" s="271"/>
      <c r="U14" s="271"/>
      <c r="V14" s="271"/>
      <c r="W14" s="273"/>
      <c r="X14" s="271"/>
      <c r="Y14" s="271"/>
      <c r="Z14" s="271"/>
      <c r="AA14" s="271"/>
      <c r="AB14" s="271"/>
      <c r="AC14" s="271"/>
      <c r="AD14" s="271"/>
      <c r="AE14" s="271"/>
      <c r="AF14" s="271"/>
      <c r="AG14" s="271"/>
      <c r="AH14" s="273"/>
      <c r="AI14" s="271"/>
      <c r="AJ14" s="271"/>
      <c r="AK14" s="271"/>
      <c r="AL14" s="271"/>
      <c r="AM14" s="271"/>
      <c r="AN14" s="271"/>
      <c r="AO14" s="271"/>
      <c r="AP14" s="271"/>
      <c r="AQ14" s="271"/>
      <c r="AR14" s="271"/>
    </row>
    <row r="15" spans="1:44" ht="10.5" customHeight="1" x14ac:dyDescent="0.2">
      <c r="A15" s="278" t="str">
        <f>IF(A13="","",INDEX(計算シート!$E$2:$M$77,MATCH(A13,計算シート!$E$2:$E$77,0),9))</f>
        <v/>
      </c>
      <c r="B15" s="279"/>
      <c r="C15" s="279"/>
      <c r="D15" s="279"/>
      <c r="E15" s="279"/>
      <c r="F15" s="279"/>
      <c r="G15" s="279"/>
      <c r="H15" s="279"/>
      <c r="I15" s="279"/>
      <c r="J15" s="279"/>
      <c r="K15" s="280"/>
      <c r="L15" s="278" t="str">
        <f>IF(L13="","",INDEX(計算シート!$E$2:$M$77,MATCH(L13,計算シート!$E$2:$E$77,0),9))</f>
        <v/>
      </c>
      <c r="M15" s="279"/>
      <c r="N15" s="279"/>
      <c r="O15" s="279"/>
      <c r="P15" s="279"/>
      <c r="Q15" s="279"/>
      <c r="R15" s="279"/>
      <c r="S15" s="279"/>
      <c r="T15" s="279"/>
      <c r="U15" s="279"/>
      <c r="V15" s="280"/>
      <c r="W15" s="278" t="str">
        <f>IF(W13="","",INDEX(計算シート!$E$2:$M$77,MATCH(W13,計算シート!$E$2:$E$77,0),9))</f>
        <v/>
      </c>
      <c r="X15" s="279"/>
      <c r="Y15" s="279"/>
      <c r="Z15" s="279"/>
      <c r="AA15" s="279"/>
      <c r="AB15" s="279"/>
      <c r="AC15" s="279"/>
      <c r="AD15" s="279"/>
      <c r="AE15" s="279"/>
      <c r="AF15" s="279"/>
      <c r="AG15" s="280"/>
      <c r="AH15" s="278" t="str">
        <f>IF(AH13="","",INDEX(計算シート!$E$2:$M$77,MATCH(AH13,計算シート!$E$2:$E$77,0),9))</f>
        <v/>
      </c>
      <c r="AI15" s="279"/>
      <c r="AJ15" s="279"/>
      <c r="AK15" s="279"/>
      <c r="AL15" s="279"/>
      <c r="AM15" s="279"/>
      <c r="AN15" s="279"/>
      <c r="AO15" s="279"/>
      <c r="AP15" s="279"/>
      <c r="AQ15" s="279"/>
      <c r="AR15" s="280"/>
    </row>
    <row r="16" spans="1:44" ht="10.5" customHeight="1" x14ac:dyDescent="0.2">
      <c r="A16" s="281"/>
      <c r="B16" s="282"/>
      <c r="C16" s="282"/>
      <c r="D16" s="282"/>
      <c r="E16" s="282"/>
      <c r="F16" s="282"/>
      <c r="G16" s="282"/>
      <c r="H16" s="282"/>
      <c r="I16" s="282"/>
      <c r="J16" s="282"/>
      <c r="K16" s="283"/>
      <c r="L16" s="281"/>
      <c r="M16" s="282"/>
      <c r="N16" s="282"/>
      <c r="O16" s="282"/>
      <c r="P16" s="282"/>
      <c r="Q16" s="282"/>
      <c r="R16" s="282"/>
      <c r="S16" s="282"/>
      <c r="T16" s="282"/>
      <c r="U16" s="282"/>
      <c r="V16" s="283"/>
      <c r="W16" s="281"/>
      <c r="X16" s="282"/>
      <c r="Y16" s="282"/>
      <c r="Z16" s="282"/>
      <c r="AA16" s="282"/>
      <c r="AB16" s="282"/>
      <c r="AC16" s="282"/>
      <c r="AD16" s="282"/>
      <c r="AE16" s="282"/>
      <c r="AF16" s="282"/>
      <c r="AG16" s="283"/>
      <c r="AH16" s="281"/>
      <c r="AI16" s="282"/>
      <c r="AJ16" s="282"/>
      <c r="AK16" s="282"/>
      <c r="AL16" s="282"/>
      <c r="AM16" s="282"/>
      <c r="AN16" s="282"/>
      <c r="AO16" s="282"/>
      <c r="AP16" s="282"/>
      <c r="AQ16" s="282"/>
      <c r="AR16" s="283"/>
    </row>
    <row r="17" spans="1:44" ht="10.5" customHeight="1" x14ac:dyDescent="0.2">
      <c r="A17" s="281"/>
      <c r="B17" s="282"/>
      <c r="C17" s="282"/>
      <c r="D17" s="282"/>
      <c r="E17" s="282"/>
      <c r="F17" s="282"/>
      <c r="G17" s="282"/>
      <c r="H17" s="282"/>
      <c r="I17" s="282"/>
      <c r="J17" s="282"/>
      <c r="K17" s="283"/>
      <c r="L17" s="281"/>
      <c r="M17" s="282"/>
      <c r="N17" s="282"/>
      <c r="O17" s="282"/>
      <c r="P17" s="282"/>
      <c r="Q17" s="282"/>
      <c r="R17" s="282"/>
      <c r="S17" s="282"/>
      <c r="T17" s="282"/>
      <c r="U17" s="282"/>
      <c r="V17" s="283"/>
      <c r="W17" s="281"/>
      <c r="X17" s="282"/>
      <c r="Y17" s="282"/>
      <c r="Z17" s="282"/>
      <c r="AA17" s="282"/>
      <c r="AB17" s="282"/>
      <c r="AC17" s="282"/>
      <c r="AD17" s="282"/>
      <c r="AE17" s="282"/>
      <c r="AF17" s="282"/>
      <c r="AG17" s="283"/>
      <c r="AH17" s="281"/>
      <c r="AI17" s="282"/>
      <c r="AJ17" s="282"/>
      <c r="AK17" s="282"/>
      <c r="AL17" s="282"/>
      <c r="AM17" s="282"/>
      <c r="AN17" s="282"/>
      <c r="AO17" s="282"/>
      <c r="AP17" s="282"/>
      <c r="AQ17" s="282"/>
      <c r="AR17" s="283"/>
    </row>
    <row r="18" spans="1:44" ht="10.5" customHeight="1" x14ac:dyDescent="0.2">
      <c r="A18" s="281"/>
      <c r="B18" s="282"/>
      <c r="C18" s="282"/>
      <c r="D18" s="282"/>
      <c r="E18" s="282"/>
      <c r="F18" s="282"/>
      <c r="G18" s="282"/>
      <c r="H18" s="282"/>
      <c r="I18" s="282"/>
      <c r="J18" s="282"/>
      <c r="K18" s="283"/>
      <c r="L18" s="281"/>
      <c r="M18" s="282"/>
      <c r="N18" s="282"/>
      <c r="O18" s="282"/>
      <c r="P18" s="282"/>
      <c r="Q18" s="282"/>
      <c r="R18" s="282"/>
      <c r="S18" s="282"/>
      <c r="T18" s="282"/>
      <c r="U18" s="282"/>
      <c r="V18" s="283"/>
      <c r="W18" s="281"/>
      <c r="X18" s="282"/>
      <c r="Y18" s="282"/>
      <c r="Z18" s="282"/>
      <c r="AA18" s="282"/>
      <c r="AB18" s="282"/>
      <c r="AC18" s="282"/>
      <c r="AD18" s="282"/>
      <c r="AE18" s="282"/>
      <c r="AF18" s="282"/>
      <c r="AG18" s="283"/>
      <c r="AH18" s="281"/>
      <c r="AI18" s="282"/>
      <c r="AJ18" s="282"/>
      <c r="AK18" s="282"/>
      <c r="AL18" s="282"/>
      <c r="AM18" s="282"/>
      <c r="AN18" s="282"/>
      <c r="AO18" s="282"/>
      <c r="AP18" s="282"/>
      <c r="AQ18" s="282"/>
      <c r="AR18" s="283"/>
    </row>
    <row r="19" spans="1:44" ht="10.5" customHeight="1" x14ac:dyDescent="0.2">
      <c r="A19" s="284"/>
      <c r="B19" s="285"/>
      <c r="C19" s="285"/>
      <c r="D19" s="285"/>
      <c r="E19" s="285"/>
      <c r="F19" s="285"/>
      <c r="G19" s="285"/>
      <c r="H19" s="285"/>
      <c r="I19" s="285"/>
      <c r="J19" s="285"/>
      <c r="K19" s="286"/>
      <c r="L19" s="284"/>
      <c r="M19" s="285"/>
      <c r="N19" s="285"/>
      <c r="O19" s="285"/>
      <c r="P19" s="285"/>
      <c r="Q19" s="285"/>
      <c r="R19" s="285"/>
      <c r="S19" s="285"/>
      <c r="T19" s="285"/>
      <c r="U19" s="285"/>
      <c r="V19" s="286"/>
      <c r="W19" s="284"/>
      <c r="X19" s="285"/>
      <c r="Y19" s="285"/>
      <c r="Z19" s="285"/>
      <c r="AA19" s="285"/>
      <c r="AB19" s="285"/>
      <c r="AC19" s="285"/>
      <c r="AD19" s="285"/>
      <c r="AE19" s="285"/>
      <c r="AF19" s="285"/>
      <c r="AG19" s="286"/>
      <c r="AH19" s="284"/>
      <c r="AI19" s="285"/>
      <c r="AJ19" s="285"/>
      <c r="AK19" s="285"/>
      <c r="AL19" s="285"/>
      <c r="AM19" s="285"/>
      <c r="AN19" s="285"/>
      <c r="AO19" s="285"/>
      <c r="AP19" s="285"/>
      <c r="AQ19" s="285"/>
      <c r="AR19" s="286"/>
    </row>
    <row r="20" spans="1:44" ht="10.5" customHeight="1" x14ac:dyDescent="0.2">
      <c r="A20" s="272" t="str">
        <f>IF(計算シート!$M$78&gt;=3,3,"")</f>
        <v/>
      </c>
      <c r="B20" s="269" t="str">
        <f>IF(A20="","",INDEX(計算シート!$E$2:$M$77,MATCH(A20,計算シート!$E$2:$E$77,0),2))</f>
        <v/>
      </c>
      <c r="C20" s="270"/>
      <c r="D20" s="270"/>
      <c r="E20" s="269" t="str">
        <f>IF(A20="","",INDEX(計算シート!$E$2:$M$77,MATCH(A20,計算シート!$E$2:$E$77,0),3))</f>
        <v/>
      </c>
      <c r="F20" s="270"/>
      <c r="G20" s="270"/>
      <c r="H20" s="270"/>
      <c r="I20" s="270"/>
      <c r="J20" s="270"/>
      <c r="K20" s="270"/>
      <c r="L20" s="272" t="str">
        <f>IF(計算シート!$M$78&gt;=15,15,"")</f>
        <v/>
      </c>
      <c r="M20" s="269" t="str">
        <f>IF(L20="","",INDEX(計算シート!$E$2:$M$77,MATCH(L20,計算シート!$E$2:$E$77,0),2))</f>
        <v/>
      </c>
      <c r="N20" s="270"/>
      <c r="O20" s="270"/>
      <c r="P20" s="269" t="str">
        <f>IF(L20="","",INDEX(計算シート!$E$2:$M$77,MATCH(L20,計算シート!$E$2:$E$77,0),3))</f>
        <v/>
      </c>
      <c r="Q20" s="270"/>
      <c r="R20" s="270"/>
      <c r="S20" s="270"/>
      <c r="T20" s="270"/>
      <c r="U20" s="270"/>
      <c r="V20" s="270"/>
      <c r="W20" s="272" t="str">
        <f>IF(計算シート!$M$78&gt;=27,27,"")</f>
        <v/>
      </c>
      <c r="X20" s="269" t="str">
        <f>IF(W20="","",INDEX(計算シート!$E$2:$M$77,MATCH(W20,計算シート!$E$2:$E$77,0),2))</f>
        <v/>
      </c>
      <c r="Y20" s="270"/>
      <c r="Z20" s="270"/>
      <c r="AA20" s="269" t="str">
        <f>IF(W20="","",INDEX(計算シート!$E$2:$M$77,MATCH(W20,計算シート!$E$2:$E$77,0),3))</f>
        <v/>
      </c>
      <c r="AB20" s="270"/>
      <c r="AC20" s="270"/>
      <c r="AD20" s="270"/>
      <c r="AE20" s="270"/>
      <c r="AF20" s="270"/>
      <c r="AG20" s="270"/>
      <c r="AH20" s="272" t="str">
        <f>IF(計算シート!$M$78&gt;=39,39,"")</f>
        <v/>
      </c>
      <c r="AI20" s="269" t="str">
        <f>IF(AH20="","",INDEX(計算シート!$E$2:$M$77,MATCH(AH20,計算シート!$E$2:$E$77,0),2))</f>
        <v/>
      </c>
      <c r="AJ20" s="270"/>
      <c r="AK20" s="270"/>
      <c r="AL20" s="269" t="str">
        <f>IF(AH20="","",INDEX(計算シート!$E$2:$M$77,MATCH(AH20,計算シート!$E$2:$E$77,0),3))</f>
        <v/>
      </c>
      <c r="AM20" s="270"/>
      <c r="AN20" s="270"/>
      <c r="AO20" s="270"/>
      <c r="AP20" s="270"/>
      <c r="AQ20" s="270"/>
      <c r="AR20" s="270"/>
    </row>
    <row r="21" spans="1:44" ht="10.5" customHeight="1" x14ac:dyDescent="0.2">
      <c r="A21" s="273"/>
      <c r="B21" s="271"/>
      <c r="C21" s="271"/>
      <c r="D21" s="271"/>
      <c r="E21" s="271"/>
      <c r="F21" s="271"/>
      <c r="G21" s="271"/>
      <c r="H21" s="271"/>
      <c r="I21" s="271"/>
      <c r="J21" s="271"/>
      <c r="K21" s="271"/>
      <c r="L21" s="273"/>
      <c r="M21" s="271"/>
      <c r="N21" s="271"/>
      <c r="O21" s="271"/>
      <c r="P21" s="271"/>
      <c r="Q21" s="271"/>
      <c r="R21" s="271"/>
      <c r="S21" s="271"/>
      <c r="T21" s="271"/>
      <c r="U21" s="271"/>
      <c r="V21" s="271"/>
      <c r="W21" s="273"/>
      <c r="X21" s="271"/>
      <c r="Y21" s="271"/>
      <c r="Z21" s="271"/>
      <c r="AA21" s="271"/>
      <c r="AB21" s="271"/>
      <c r="AC21" s="271"/>
      <c r="AD21" s="271"/>
      <c r="AE21" s="271"/>
      <c r="AF21" s="271"/>
      <c r="AG21" s="271"/>
      <c r="AH21" s="273"/>
      <c r="AI21" s="271"/>
      <c r="AJ21" s="271"/>
      <c r="AK21" s="271"/>
      <c r="AL21" s="271"/>
      <c r="AM21" s="271"/>
      <c r="AN21" s="271"/>
      <c r="AO21" s="271"/>
      <c r="AP21" s="271"/>
      <c r="AQ21" s="271"/>
      <c r="AR21" s="271"/>
    </row>
    <row r="22" spans="1:44" ht="10.5" customHeight="1" x14ac:dyDescent="0.2">
      <c r="A22" s="278" t="str">
        <f>IF(A20="","",INDEX(計算シート!$E$2:$M$77,MATCH(A20,計算シート!$E$2:$E$77,0),9))</f>
        <v/>
      </c>
      <c r="B22" s="279"/>
      <c r="C22" s="279"/>
      <c r="D22" s="279"/>
      <c r="E22" s="279"/>
      <c r="F22" s="279"/>
      <c r="G22" s="279"/>
      <c r="H22" s="279"/>
      <c r="I22" s="279"/>
      <c r="J22" s="279"/>
      <c r="K22" s="280"/>
      <c r="L22" s="278" t="str">
        <f>IF(L20="","",INDEX(計算シート!$E$2:$M$77,MATCH(L20,計算シート!$E$2:$E$77,0),9))</f>
        <v/>
      </c>
      <c r="M22" s="279"/>
      <c r="N22" s="279"/>
      <c r="O22" s="279"/>
      <c r="P22" s="279"/>
      <c r="Q22" s="279"/>
      <c r="R22" s="279"/>
      <c r="S22" s="279"/>
      <c r="T22" s="279"/>
      <c r="U22" s="279"/>
      <c r="V22" s="280"/>
      <c r="W22" s="278" t="str">
        <f>IF(W20="","",INDEX(計算シート!$E$2:$M$77,MATCH(W20,計算シート!$E$2:$E$77,0),9))</f>
        <v/>
      </c>
      <c r="X22" s="279"/>
      <c r="Y22" s="279"/>
      <c r="Z22" s="279"/>
      <c r="AA22" s="279"/>
      <c r="AB22" s="279"/>
      <c r="AC22" s="279"/>
      <c r="AD22" s="279"/>
      <c r="AE22" s="279"/>
      <c r="AF22" s="279"/>
      <c r="AG22" s="280"/>
      <c r="AH22" s="278" t="str">
        <f>IF(AH20="","",INDEX(計算シート!$E$2:$M$77,MATCH(AH20,計算シート!$E$2:$E$77,0),9))</f>
        <v/>
      </c>
      <c r="AI22" s="279"/>
      <c r="AJ22" s="279"/>
      <c r="AK22" s="279"/>
      <c r="AL22" s="279"/>
      <c r="AM22" s="279"/>
      <c r="AN22" s="279"/>
      <c r="AO22" s="279"/>
      <c r="AP22" s="279"/>
      <c r="AQ22" s="279"/>
      <c r="AR22" s="280"/>
    </row>
    <row r="23" spans="1:44" ht="10.5" customHeight="1" x14ac:dyDescent="0.2">
      <c r="A23" s="281"/>
      <c r="B23" s="282"/>
      <c r="C23" s="282"/>
      <c r="D23" s="282"/>
      <c r="E23" s="282"/>
      <c r="F23" s="282"/>
      <c r="G23" s="282"/>
      <c r="H23" s="282"/>
      <c r="I23" s="282"/>
      <c r="J23" s="282"/>
      <c r="K23" s="283"/>
      <c r="L23" s="281"/>
      <c r="M23" s="282"/>
      <c r="N23" s="282"/>
      <c r="O23" s="282"/>
      <c r="P23" s="282"/>
      <c r="Q23" s="282"/>
      <c r="R23" s="282"/>
      <c r="S23" s="282"/>
      <c r="T23" s="282"/>
      <c r="U23" s="282"/>
      <c r="V23" s="283"/>
      <c r="W23" s="281"/>
      <c r="X23" s="282"/>
      <c r="Y23" s="282"/>
      <c r="Z23" s="282"/>
      <c r="AA23" s="282"/>
      <c r="AB23" s="282"/>
      <c r="AC23" s="282"/>
      <c r="AD23" s="282"/>
      <c r="AE23" s="282"/>
      <c r="AF23" s="282"/>
      <c r="AG23" s="283"/>
      <c r="AH23" s="281"/>
      <c r="AI23" s="282"/>
      <c r="AJ23" s="282"/>
      <c r="AK23" s="282"/>
      <c r="AL23" s="282"/>
      <c r="AM23" s="282"/>
      <c r="AN23" s="282"/>
      <c r="AO23" s="282"/>
      <c r="AP23" s="282"/>
      <c r="AQ23" s="282"/>
      <c r="AR23" s="283"/>
    </row>
    <row r="24" spans="1:44" ht="10.5" customHeight="1" x14ac:dyDescent="0.2">
      <c r="A24" s="281"/>
      <c r="B24" s="282"/>
      <c r="C24" s="282"/>
      <c r="D24" s="282"/>
      <c r="E24" s="282"/>
      <c r="F24" s="282"/>
      <c r="G24" s="282"/>
      <c r="H24" s="282"/>
      <c r="I24" s="282"/>
      <c r="J24" s="282"/>
      <c r="K24" s="283"/>
      <c r="L24" s="281"/>
      <c r="M24" s="282"/>
      <c r="N24" s="282"/>
      <c r="O24" s="282"/>
      <c r="P24" s="282"/>
      <c r="Q24" s="282"/>
      <c r="R24" s="282"/>
      <c r="S24" s="282"/>
      <c r="T24" s="282"/>
      <c r="U24" s="282"/>
      <c r="V24" s="283"/>
      <c r="W24" s="281"/>
      <c r="X24" s="282"/>
      <c r="Y24" s="282"/>
      <c r="Z24" s="282"/>
      <c r="AA24" s="282"/>
      <c r="AB24" s="282"/>
      <c r="AC24" s="282"/>
      <c r="AD24" s="282"/>
      <c r="AE24" s="282"/>
      <c r="AF24" s="282"/>
      <c r="AG24" s="283"/>
      <c r="AH24" s="281"/>
      <c r="AI24" s="282"/>
      <c r="AJ24" s="282"/>
      <c r="AK24" s="282"/>
      <c r="AL24" s="282"/>
      <c r="AM24" s="282"/>
      <c r="AN24" s="282"/>
      <c r="AO24" s="282"/>
      <c r="AP24" s="282"/>
      <c r="AQ24" s="282"/>
      <c r="AR24" s="283"/>
    </row>
    <row r="25" spans="1:44" ht="10.5" customHeight="1" x14ac:dyDescent="0.2">
      <c r="A25" s="281"/>
      <c r="B25" s="282"/>
      <c r="C25" s="282"/>
      <c r="D25" s="282"/>
      <c r="E25" s="282"/>
      <c r="F25" s="282"/>
      <c r="G25" s="282"/>
      <c r="H25" s="282"/>
      <c r="I25" s="282"/>
      <c r="J25" s="282"/>
      <c r="K25" s="283"/>
      <c r="L25" s="281"/>
      <c r="M25" s="282"/>
      <c r="N25" s="282"/>
      <c r="O25" s="282"/>
      <c r="P25" s="282"/>
      <c r="Q25" s="282"/>
      <c r="R25" s="282"/>
      <c r="S25" s="282"/>
      <c r="T25" s="282"/>
      <c r="U25" s="282"/>
      <c r="V25" s="283"/>
      <c r="W25" s="281"/>
      <c r="X25" s="282"/>
      <c r="Y25" s="282"/>
      <c r="Z25" s="282"/>
      <c r="AA25" s="282"/>
      <c r="AB25" s="282"/>
      <c r="AC25" s="282"/>
      <c r="AD25" s="282"/>
      <c r="AE25" s="282"/>
      <c r="AF25" s="282"/>
      <c r="AG25" s="283"/>
      <c r="AH25" s="281"/>
      <c r="AI25" s="282"/>
      <c r="AJ25" s="282"/>
      <c r="AK25" s="282"/>
      <c r="AL25" s="282"/>
      <c r="AM25" s="282"/>
      <c r="AN25" s="282"/>
      <c r="AO25" s="282"/>
      <c r="AP25" s="282"/>
      <c r="AQ25" s="282"/>
      <c r="AR25" s="283"/>
    </row>
    <row r="26" spans="1:44" ht="10.5" customHeight="1" x14ac:dyDescent="0.2">
      <c r="A26" s="284"/>
      <c r="B26" s="285"/>
      <c r="C26" s="285"/>
      <c r="D26" s="285"/>
      <c r="E26" s="285"/>
      <c r="F26" s="285"/>
      <c r="G26" s="285"/>
      <c r="H26" s="285"/>
      <c r="I26" s="285"/>
      <c r="J26" s="285"/>
      <c r="K26" s="286"/>
      <c r="L26" s="284"/>
      <c r="M26" s="285"/>
      <c r="N26" s="285"/>
      <c r="O26" s="285"/>
      <c r="P26" s="285"/>
      <c r="Q26" s="285"/>
      <c r="R26" s="285"/>
      <c r="S26" s="285"/>
      <c r="T26" s="285"/>
      <c r="U26" s="285"/>
      <c r="V26" s="286"/>
      <c r="W26" s="284"/>
      <c r="X26" s="285"/>
      <c r="Y26" s="285"/>
      <c r="Z26" s="285"/>
      <c r="AA26" s="285"/>
      <c r="AB26" s="285"/>
      <c r="AC26" s="285"/>
      <c r="AD26" s="285"/>
      <c r="AE26" s="285"/>
      <c r="AF26" s="285"/>
      <c r="AG26" s="286"/>
      <c r="AH26" s="284"/>
      <c r="AI26" s="285"/>
      <c r="AJ26" s="285"/>
      <c r="AK26" s="285"/>
      <c r="AL26" s="285"/>
      <c r="AM26" s="285"/>
      <c r="AN26" s="285"/>
      <c r="AO26" s="285"/>
      <c r="AP26" s="285"/>
      <c r="AQ26" s="285"/>
      <c r="AR26" s="286"/>
    </row>
    <row r="27" spans="1:44" ht="10.5" customHeight="1" x14ac:dyDescent="0.2">
      <c r="A27" s="272" t="str">
        <f>IF(計算シート!$M$78&gt;=4,4,"")</f>
        <v/>
      </c>
      <c r="B27" s="269" t="str">
        <f>IF(A27="","",INDEX(計算シート!$E$2:$M$77,MATCH(A27,計算シート!$E$2:$E$77,0),2))</f>
        <v/>
      </c>
      <c r="C27" s="270"/>
      <c r="D27" s="270"/>
      <c r="E27" s="269" t="str">
        <f>IF(A27="","",INDEX(計算シート!$E$2:$M$77,MATCH(A27,計算シート!$E$2:$E$77,0),3))</f>
        <v/>
      </c>
      <c r="F27" s="270"/>
      <c r="G27" s="270"/>
      <c r="H27" s="270"/>
      <c r="I27" s="270"/>
      <c r="J27" s="270"/>
      <c r="K27" s="270"/>
      <c r="L27" s="272" t="str">
        <f>IF(計算シート!$M$78&gt;=16,16,"")</f>
        <v/>
      </c>
      <c r="M27" s="269" t="str">
        <f>IF(L27="","",INDEX(計算シート!$E$2:$M$77,MATCH(L27,計算シート!$E$2:$E$77,0),2))</f>
        <v/>
      </c>
      <c r="N27" s="270"/>
      <c r="O27" s="270"/>
      <c r="P27" s="269" t="str">
        <f>IF(L27="","",INDEX(計算シート!$E$2:$M$77,MATCH(L27,計算シート!$E$2:$E$77,0),3))</f>
        <v/>
      </c>
      <c r="Q27" s="270"/>
      <c r="R27" s="270"/>
      <c r="S27" s="270"/>
      <c r="T27" s="270"/>
      <c r="U27" s="270"/>
      <c r="V27" s="270"/>
      <c r="W27" s="272" t="str">
        <f>IF(計算シート!$M$78&gt;=28,28,"")</f>
        <v/>
      </c>
      <c r="X27" s="269" t="str">
        <f>IF(W27="","",INDEX(計算シート!$E$2:$M$77,MATCH(W27,計算シート!$E$2:$E$77,0),2))</f>
        <v/>
      </c>
      <c r="Y27" s="270"/>
      <c r="Z27" s="270"/>
      <c r="AA27" s="269" t="str">
        <f>IF(W27="","",INDEX(計算シート!$E$2:$M$77,MATCH(W27,計算シート!$E$2:$E$77,0),3))</f>
        <v/>
      </c>
      <c r="AB27" s="270"/>
      <c r="AC27" s="270"/>
      <c r="AD27" s="270"/>
      <c r="AE27" s="270"/>
      <c r="AF27" s="270"/>
      <c r="AG27" s="270"/>
      <c r="AH27" s="272" t="str">
        <f>IF(計算シート!$M$78&gt;=40,40,"")</f>
        <v/>
      </c>
      <c r="AI27" s="269" t="str">
        <f>IF(AH27="","",INDEX(計算シート!$E$2:$M$77,MATCH(AH27,計算シート!$E$2:$E$77,0),2))</f>
        <v/>
      </c>
      <c r="AJ27" s="270"/>
      <c r="AK27" s="270"/>
      <c r="AL27" s="269" t="str">
        <f>IF(AH27="","",INDEX(計算シート!$E$2:$M$77,MATCH(AH27,計算シート!$E$2:$E$77,0),3))</f>
        <v/>
      </c>
      <c r="AM27" s="270"/>
      <c r="AN27" s="270"/>
      <c r="AO27" s="270"/>
      <c r="AP27" s="270"/>
      <c r="AQ27" s="270"/>
      <c r="AR27" s="270"/>
    </row>
    <row r="28" spans="1:44" ht="10.5" customHeight="1" x14ac:dyDescent="0.2">
      <c r="A28" s="273"/>
      <c r="B28" s="271"/>
      <c r="C28" s="271"/>
      <c r="D28" s="271"/>
      <c r="E28" s="271"/>
      <c r="F28" s="271"/>
      <c r="G28" s="271"/>
      <c r="H28" s="271"/>
      <c r="I28" s="271"/>
      <c r="J28" s="271"/>
      <c r="K28" s="271"/>
      <c r="L28" s="273"/>
      <c r="M28" s="271"/>
      <c r="N28" s="271"/>
      <c r="O28" s="271"/>
      <c r="P28" s="271"/>
      <c r="Q28" s="271"/>
      <c r="R28" s="271"/>
      <c r="S28" s="271"/>
      <c r="T28" s="271"/>
      <c r="U28" s="271"/>
      <c r="V28" s="271"/>
      <c r="W28" s="273"/>
      <c r="X28" s="271"/>
      <c r="Y28" s="271"/>
      <c r="Z28" s="271"/>
      <c r="AA28" s="271"/>
      <c r="AB28" s="271"/>
      <c r="AC28" s="271"/>
      <c r="AD28" s="271"/>
      <c r="AE28" s="271"/>
      <c r="AF28" s="271"/>
      <c r="AG28" s="271"/>
      <c r="AH28" s="273"/>
      <c r="AI28" s="271"/>
      <c r="AJ28" s="271"/>
      <c r="AK28" s="271"/>
      <c r="AL28" s="271"/>
      <c r="AM28" s="271"/>
      <c r="AN28" s="271"/>
      <c r="AO28" s="271"/>
      <c r="AP28" s="271"/>
      <c r="AQ28" s="271"/>
      <c r="AR28" s="271"/>
    </row>
    <row r="29" spans="1:44" ht="10.5" customHeight="1" x14ac:dyDescent="0.2">
      <c r="A29" s="278" t="str">
        <f>IF(A27="","",INDEX(計算シート!$E$2:$M$77,MATCH(A27,計算シート!$E$2:$E$77,0),9))</f>
        <v/>
      </c>
      <c r="B29" s="279"/>
      <c r="C29" s="279"/>
      <c r="D29" s="279"/>
      <c r="E29" s="279"/>
      <c r="F29" s="279"/>
      <c r="G29" s="279"/>
      <c r="H29" s="279"/>
      <c r="I29" s="279"/>
      <c r="J29" s="279"/>
      <c r="K29" s="280"/>
      <c r="L29" s="278" t="str">
        <f>IF(L27="","",INDEX(計算シート!$E$2:$M$77,MATCH(L27,計算シート!$E$2:$E$77,0),9))</f>
        <v/>
      </c>
      <c r="M29" s="279"/>
      <c r="N29" s="279"/>
      <c r="O29" s="279"/>
      <c r="P29" s="279"/>
      <c r="Q29" s="279"/>
      <c r="R29" s="279"/>
      <c r="S29" s="279"/>
      <c r="T29" s="279"/>
      <c r="U29" s="279"/>
      <c r="V29" s="280"/>
      <c r="W29" s="278" t="str">
        <f>IF(W27="","",INDEX(計算シート!$E$2:$M$77,MATCH(W27,計算シート!$E$2:$E$77,0),9))</f>
        <v/>
      </c>
      <c r="X29" s="279"/>
      <c r="Y29" s="279"/>
      <c r="Z29" s="279"/>
      <c r="AA29" s="279"/>
      <c r="AB29" s="279"/>
      <c r="AC29" s="279"/>
      <c r="AD29" s="279"/>
      <c r="AE29" s="279"/>
      <c r="AF29" s="279"/>
      <c r="AG29" s="280"/>
      <c r="AH29" s="278" t="str">
        <f>IF(AH27="","",INDEX(計算シート!$E$2:$M$77,MATCH(AH27,計算シート!$E$2:$E$77,0),9))</f>
        <v/>
      </c>
      <c r="AI29" s="279"/>
      <c r="AJ29" s="279"/>
      <c r="AK29" s="279"/>
      <c r="AL29" s="279"/>
      <c r="AM29" s="279"/>
      <c r="AN29" s="279"/>
      <c r="AO29" s="279"/>
      <c r="AP29" s="279"/>
      <c r="AQ29" s="279"/>
      <c r="AR29" s="280"/>
    </row>
    <row r="30" spans="1:44" ht="10.5" customHeight="1" x14ac:dyDescent="0.2">
      <c r="A30" s="281"/>
      <c r="B30" s="282"/>
      <c r="C30" s="282"/>
      <c r="D30" s="282"/>
      <c r="E30" s="282"/>
      <c r="F30" s="282"/>
      <c r="G30" s="282"/>
      <c r="H30" s="282"/>
      <c r="I30" s="282"/>
      <c r="J30" s="282"/>
      <c r="K30" s="283"/>
      <c r="L30" s="281"/>
      <c r="M30" s="282"/>
      <c r="N30" s="282"/>
      <c r="O30" s="282"/>
      <c r="P30" s="282"/>
      <c r="Q30" s="282"/>
      <c r="R30" s="282"/>
      <c r="S30" s="282"/>
      <c r="T30" s="282"/>
      <c r="U30" s="282"/>
      <c r="V30" s="283"/>
      <c r="W30" s="281"/>
      <c r="X30" s="282"/>
      <c r="Y30" s="282"/>
      <c r="Z30" s="282"/>
      <c r="AA30" s="282"/>
      <c r="AB30" s="282"/>
      <c r="AC30" s="282"/>
      <c r="AD30" s="282"/>
      <c r="AE30" s="282"/>
      <c r="AF30" s="282"/>
      <c r="AG30" s="283"/>
      <c r="AH30" s="281"/>
      <c r="AI30" s="282"/>
      <c r="AJ30" s="282"/>
      <c r="AK30" s="282"/>
      <c r="AL30" s="282"/>
      <c r="AM30" s="282"/>
      <c r="AN30" s="282"/>
      <c r="AO30" s="282"/>
      <c r="AP30" s="282"/>
      <c r="AQ30" s="282"/>
      <c r="AR30" s="283"/>
    </row>
    <row r="31" spans="1:44" ht="10.5" customHeight="1" x14ac:dyDescent="0.2">
      <c r="A31" s="281"/>
      <c r="B31" s="282"/>
      <c r="C31" s="282"/>
      <c r="D31" s="282"/>
      <c r="E31" s="282"/>
      <c r="F31" s="282"/>
      <c r="G31" s="282"/>
      <c r="H31" s="282"/>
      <c r="I31" s="282"/>
      <c r="J31" s="282"/>
      <c r="K31" s="283"/>
      <c r="L31" s="281"/>
      <c r="M31" s="282"/>
      <c r="N31" s="282"/>
      <c r="O31" s="282"/>
      <c r="P31" s="282"/>
      <c r="Q31" s="282"/>
      <c r="R31" s="282"/>
      <c r="S31" s="282"/>
      <c r="T31" s="282"/>
      <c r="U31" s="282"/>
      <c r="V31" s="283"/>
      <c r="W31" s="281"/>
      <c r="X31" s="282"/>
      <c r="Y31" s="282"/>
      <c r="Z31" s="282"/>
      <c r="AA31" s="282"/>
      <c r="AB31" s="282"/>
      <c r="AC31" s="282"/>
      <c r="AD31" s="282"/>
      <c r="AE31" s="282"/>
      <c r="AF31" s="282"/>
      <c r="AG31" s="283"/>
      <c r="AH31" s="281"/>
      <c r="AI31" s="282"/>
      <c r="AJ31" s="282"/>
      <c r="AK31" s="282"/>
      <c r="AL31" s="282"/>
      <c r="AM31" s="282"/>
      <c r="AN31" s="282"/>
      <c r="AO31" s="282"/>
      <c r="AP31" s="282"/>
      <c r="AQ31" s="282"/>
      <c r="AR31" s="283"/>
    </row>
    <row r="32" spans="1:44" ht="10.5" customHeight="1" x14ac:dyDescent="0.2">
      <c r="A32" s="281"/>
      <c r="B32" s="282"/>
      <c r="C32" s="282"/>
      <c r="D32" s="282"/>
      <c r="E32" s="282"/>
      <c r="F32" s="282"/>
      <c r="G32" s="282"/>
      <c r="H32" s="282"/>
      <c r="I32" s="282"/>
      <c r="J32" s="282"/>
      <c r="K32" s="283"/>
      <c r="L32" s="281"/>
      <c r="M32" s="282"/>
      <c r="N32" s="282"/>
      <c r="O32" s="282"/>
      <c r="P32" s="282"/>
      <c r="Q32" s="282"/>
      <c r="R32" s="282"/>
      <c r="S32" s="282"/>
      <c r="T32" s="282"/>
      <c r="U32" s="282"/>
      <c r="V32" s="283"/>
      <c r="W32" s="281"/>
      <c r="X32" s="282"/>
      <c r="Y32" s="282"/>
      <c r="Z32" s="282"/>
      <c r="AA32" s="282"/>
      <c r="AB32" s="282"/>
      <c r="AC32" s="282"/>
      <c r="AD32" s="282"/>
      <c r="AE32" s="282"/>
      <c r="AF32" s="282"/>
      <c r="AG32" s="283"/>
      <c r="AH32" s="281"/>
      <c r="AI32" s="282"/>
      <c r="AJ32" s="282"/>
      <c r="AK32" s="282"/>
      <c r="AL32" s="282"/>
      <c r="AM32" s="282"/>
      <c r="AN32" s="282"/>
      <c r="AO32" s="282"/>
      <c r="AP32" s="282"/>
      <c r="AQ32" s="282"/>
      <c r="AR32" s="283"/>
    </row>
    <row r="33" spans="1:44" ht="10.5" customHeight="1" x14ac:dyDescent="0.2">
      <c r="A33" s="284"/>
      <c r="B33" s="285"/>
      <c r="C33" s="285"/>
      <c r="D33" s="285"/>
      <c r="E33" s="285"/>
      <c r="F33" s="285"/>
      <c r="G33" s="285"/>
      <c r="H33" s="285"/>
      <c r="I33" s="285"/>
      <c r="J33" s="285"/>
      <c r="K33" s="286"/>
      <c r="L33" s="284"/>
      <c r="M33" s="285"/>
      <c r="N33" s="285"/>
      <c r="O33" s="285"/>
      <c r="P33" s="285"/>
      <c r="Q33" s="285"/>
      <c r="R33" s="285"/>
      <c r="S33" s="285"/>
      <c r="T33" s="285"/>
      <c r="U33" s="285"/>
      <c r="V33" s="286"/>
      <c r="W33" s="284"/>
      <c r="X33" s="285"/>
      <c r="Y33" s="285"/>
      <c r="Z33" s="285"/>
      <c r="AA33" s="285"/>
      <c r="AB33" s="285"/>
      <c r="AC33" s="285"/>
      <c r="AD33" s="285"/>
      <c r="AE33" s="285"/>
      <c r="AF33" s="285"/>
      <c r="AG33" s="286"/>
      <c r="AH33" s="284"/>
      <c r="AI33" s="285"/>
      <c r="AJ33" s="285"/>
      <c r="AK33" s="285"/>
      <c r="AL33" s="285"/>
      <c r="AM33" s="285"/>
      <c r="AN33" s="285"/>
      <c r="AO33" s="285"/>
      <c r="AP33" s="285"/>
      <c r="AQ33" s="285"/>
      <c r="AR33" s="286"/>
    </row>
    <row r="34" spans="1:44" ht="10.5" customHeight="1" x14ac:dyDescent="0.2">
      <c r="A34" s="272" t="str">
        <f>IF(計算シート!$M$78&gt;=5,5,"")</f>
        <v/>
      </c>
      <c r="B34" s="269" t="str">
        <f>IF(A34="","",INDEX(計算シート!$E$2:$M$77,MATCH(A34,計算シート!$E$2:$E$77,0),2))</f>
        <v/>
      </c>
      <c r="C34" s="270"/>
      <c r="D34" s="270"/>
      <c r="E34" s="269" t="str">
        <f>IF(A34="","",INDEX(計算シート!$E$2:$M$77,MATCH(A34,計算シート!$E$2:$E$77,0),3))</f>
        <v/>
      </c>
      <c r="F34" s="270"/>
      <c r="G34" s="270"/>
      <c r="H34" s="270"/>
      <c r="I34" s="270"/>
      <c r="J34" s="270"/>
      <c r="K34" s="270"/>
      <c r="L34" s="272" t="str">
        <f>IF(計算シート!$M$78&gt;=17,17,"")</f>
        <v/>
      </c>
      <c r="M34" s="269" t="str">
        <f>IF(L34="","",INDEX(計算シート!$E$2:$M$77,MATCH(L34,計算シート!$E$2:$E$77,0),2))</f>
        <v/>
      </c>
      <c r="N34" s="270"/>
      <c r="O34" s="270"/>
      <c r="P34" s="269" t="str">
        <f>IF(L34="","",INDEX(計算シート!$E$2:$M$77,MATCH(L34,計算シート!$E$2:$E$77,0),3))</f>
        <v/>
      </c>
      <c r="Q34" s="270"/>
      <c r="R34" s="270"/>
      <c r="S34" s="270"/>
      <c r="T34" s="270"/>
      <c r="U34" s="270"/>
      <c r="V34" s="270"/>
      <c r="W34" s="272" t="str">
        <f>IF(計算シート!$M$78&gt;=29,29,"")</f>
        <v/>
      </c>
      <c r="X34" s="269" t="str">
        <f>IF(W34="","",INDEX(計算シート!$E$2:$M$77,MATCH(W34,計算シート!$E$2:$E$77,0),2))</f>
        <v/>
      </c>
      <c r="Y34" s="270"/>
      <c r="Z34" s="270"/>
      <c r="AA34" s="269" t="str">
        <f>IF(W34="","",INDEX(計算シート!$E$2:$M$77,MATCH(W34,計算シート!$E$2:$E$77,0),3))</f>
        <v/>
      </c>
      <c r="AB34" s="270"/>
      <c r="AC34" s="270"/>
      <c r="AD34" s="270"/>
      <c r="AE34" s="270"/>
      <c r="AF34" s="270"/>
      <c r="AG34" s="270"/>
      <c r="AH34" s="272" t="str">
        <f>IF(計算シート!$M$78&gt;=41,41,"")</f>
        <v/>
      </c>
      <c r="AI34" s="269" t="str">
        <f>IF(AH34="","",INDEX(計算シート!$E$2:$M$77,MATCH(AH34,計算シート!$E$2:$E$77,0),2))</f>
        <v/>
      </c>
      <c r="AJ34" s="270"/>
      <c r="AK34" s="270"/>
      <c r="AL34" s="269" t="str">
        <f>IF(AH34="","",INDEX(計算シート!$E$2:$M$77,MATCH(AH34,計算シート!$E$2:$E$77,0),3))</f>
        <v/>
      </c>
      <c r="AM34" s="270"/>
      <c r="AN34" s="270"/>
      <c r="AO34" s="270"/>
      <c r="AP34" s="270"/>
      <c r="AQ34" s="270"/>
      <c r="AR34" s="270"/>
    </row>
    <row r="35" spans="1:44" ht="10.5" customHeight="1" x14ac:dyDescent="0.2">
      <c r="A35" s="273"/>
      <c r="B35" s="271"/>
      <c r="C35" s="271"/>
      <c r="D35" s="271"/>
      <c r="E35" s="271"/>
      <c r="F35" s="271"/>
      <c r="G35" s="271"/>
      <c r="H35" s="271"/>
      <c r="I35" s="271"/>
      <c r="J35" s="271"/>
      <c r="K35" s="271"/>
      <c r="L35" s="273"/>
      <c r="M35" s="271"/>
      <c r="N35" s="271"/>
      <c r="O35" s="271"/>
      <c r="P35" s="271"/>
      <c r="Q35" s="271"/>
      <c r="R35" s="271"/>
      <c r="S35" s="271"/>
      <c r="T35" s="271"/>
      <c r="U35" s="271"/>
      <c r="V35" s="271"/>
      <c r="W35" s="273"/>
      <c r="X35" s="271"/>
      <c r="Y35" s="271"/>
      <c r="Z35" s="271"/>
      <c r="AA35" s="271"/>
      <c r="AB35" s="271"/>
      <c r="AC35" s="271"/>
      <c r="AD35" s="271"/>
      <c r="AE35" s="271"/>
      <c r="AF35" s="271"/>
      <c r="AG35" s="271"/>
      <c r="AH35" s="273"/>
      <c r="AI35" s="271"/>
      <c r="AJ35" s="271"/>
      <c r="AK35" s="271"/>
      <c r="AL35" s="271"/>
      <c r="AM35" s="271"/>
      <c r="AN35" s="271"/>
      <c r="AO35" s="271"/>
      <c r="AP35" s="271"/>
      <c r="AQ35" s="271"/>
      <c r="AR35" s="271"/>
    </row>
    <row r="36" spans="1:44" ht="10.5" customHeight="1" x14ac:dyDescent="0.2">
      <c r="A36" s="278" t="str">
        <f>IF(A34="","",INDEX(計算シート!$E$2:$M$77,MATCH(A34,計算シート!$E$2:$E$77,0),9))</f>
        <v/>
      </c>
      <c r="B36" s="279"/>
      <c r="C36" s="279"/>
      <c r="D36" s="279"/>
      <c r="E36" s="279"/>
      <c r="F36" s="279"/>
      <c r="G36" s="279"/>
      <c r="H36" s="279"/>
      <c r="I36" s="279"/>
      <c r="J36" s="279"/>
      <c r="K36" s="280"/>
      <c r="L36" s="278" t="str">
        <f>IF(L34="","",INDEX(計算シート!$E$2:$M$77,MATCH(L34,計算シート!$E$2:$E$77,0),9))</f>
        <v/>
      </c>
      <c r="M36" s="279"/>
      <c r="N36" s="279"/>
      <c r="O36" s="279"/>
      <c r="P36" s="279"/>
      <c r="Q36" s="279"/>
      <c r="R36" s="279"/>
      <c r="S36" s="279"/>
      <c r="T36" s="279"/>
      <c r="U36" s="279"/>
      <c r="V36" s="280"/>
      <c r="W36" s="278" t="str">
        <f>IF(W34="","",INDEX(計算シート!$E$2:$M$77,MATCH(W34,計算シート!$E$2:$E$77,0),9))</f>
        <v/>
      </c>
      <c r="X36" s="279"/>
      <c r="Y36" s="279"/>
      <c r="Z36" s="279"/>
      <c r="AA36" s="279"/>
      <c r="AB36" s="279"/>
      <c r="AC36" s="279"/>
      <c r="AD36" s="279"/>
      <c r="AE36" s="279"/>
      <c r="AF36" s="279"/>
      <c r="AG36" s="280"/>
      <c r="AH36" s="278" t="str">
        <f>IF(AH34="","",INDEX(計算シート!$E$2:$M$77,MATCH(AH34,計算シート!$E$2:$E$77,0),9))</f>
        <v/>
      </c>
      <c r="AI36" s="279"/>
      <c r="AJ36" s="279"/>
      <c r="AK36" s="279"/>
      <c r="AL36" s="279"/>
      <c r="AM36" s="279"/>
      <c r="AN36" s="279"/>
      <c r="AO36" s="279"/>
      <c r="AP36" s="279"/>
      <c r="AQ36" s="279"/>
      <c r="AR36" s="280"/>
    </row>
    <row r="37" spans="1:44" ht="10.5" customHeight="1" x14ac:dyDescent="0.2">
      <c r="A37" s="281"/>
      <c r="B37" s="282"/>
      <c r="C37" s="282"/>
      <c r="D37" s="282"/>
      <c r="E37" s="282"/>
      <c r="F37" s="282"/>
      <c r="G37" s="282"/>
      <c r="H37" s="282"/>
      <c r="I37" s="282"/>
      <c r="J37" s="282"/>
      <c r="K37" s="283"/>
      <c r="L37" s="281"/>
      <c r="M37" s="282"/>
      <c r="N37" s="282"/>
      <c r="O37" s="282"/>
      <c r="P37" s="282"/>
      <c r="Q37" s="282"/>
      <c r="R37" s="282"/>
      <c r="S37" s="282"/>
      <c r="T37" s="282"/>
      <c r="U37" s="282"/>
      <c r="V37" s="283"/>
      <c r="W37" s="281"/>
      <c r="X37" s="282"/>
      <c r="Y37" s="282"/>
      <c r="Z37" s="282"/>
      <c r="AA37" s="282"/>
      <c r="AB37" s="282"/>
      <c r="AC37" s="282"/>
      <c r="AD37" s="282"/>
      <c r="AE37" s="282"/>
      <c r="AF37" s="282"/>
      <c r="AG37" s="283"/>
      <c r="AH37" s="281"/>
      <c r="AI37" s="282"/>
      <c r="AJ37" s="282"/>
      <c r="AK37" s="282"/>
      <c r="AL37" s="282"/>
      <c r="AM37" s="282"/>
      <c r="AN37" s="282"/>
      <c r="AO37" s="282"/>
      <c r="AP37" s="282"/>
      <c r="AQ37" s="282"/>
      <c r="AR37" s="283"/>
    </row>
    <row r="38" spans="1:44" ht="10.5" customHeight="1" x14ac:dyDescent="0.2">
      <c r="A38" s="281"/>
      <c r="B38" s="282"/>
      <c r="C38" s="282"/>
      <c r="D38" s="282"/>
      <c r="E38" s="282"/>
      <c r="F38" s="282"/>
      <c r="G38" s="282"/>
      <c r="H38" s="282"/>
      <c r="I38" s="282"/>
      <c r="J38" s="282"/>
      <c r="K38" s="283"/>
      <c r="L38" s="281"/>
      <c r="M38" s="282"/>
      <c r="N38" s="282"/>
      <c r="O38" s="282"/>
      <c r="P38" s="282"/>
      <c r="Q38" s="282"/>
      <c r="R38" s="282"/>
      <c r="S38" s="282"/>
      <c r="T38" s="282"/>
      <c r="U38" s="282"/>
      <c r="V38" s="283"/>
      <c r="W38" s="281"/>
      <c r="X38" s="282"/>
      <c r="Y38" s="282"/>
      <c r="Z38" s="282"/>
      <c r="AA38" s="282"/>
      <c r="AB38" s="282"/>
      <c r="AC38" s="282"/>
      <c r="AD38" s="282"/>
      <c r="AE38" s="282"/>
      <c r="AF38" s="282"/>
      <c r="AG38" s="283"/>
      <c r="AH38" s="281"/>
      <c r="AI38" s="282"/>
      <c r="AJ38" s="282"/>
      <c r="AK38" s="282"/>
      <c r="AL38" s="282"/>
      <c r="AM38" s="282"/>
      <c r="AN38" s="282"/>
      <c r="AO38" s="282"/>
      <c r="AP38" s="282"/>
      <c r="AQ38" s="282"/>
      <c r="AR38" s="283"/>
    </row>
    <row r="39" spans="1:44" ht="10.5" customHeight="1" x14ac:dyDescent="0.2">
      <c r="A39" s="281"/>
      <c r="B39" s="282"/>
      <c r="C39" s="282"/>
      <c r="D39" s="282"/>
      <c r="E39" s="282"/>
      <c r="F39" s="282"/>
      <c r="G39" s="282"/>
      <c r="H39" s="282"/>
      <c r="I39" s="282"/>
      <c r="J39" s="282"/>
      <c r="K39" s="283"/>
      <c r="L39" s="281"/>
      <c r="M39" s="282"/>
      <c r="N39" s="282"/>
      <c r="O39" s="282"/>
      <c r="P39" s="282"/>
      <c r="Q39" s="282"/>
      <c r="R39" s="282"/>
      <c r="S39" s="282"/>
      <c r="T39" s="282"/>
      <c r="U39" s="282"/>
      <c r="V39" s="283"/>
      <c r="W39" s="281"/>
      <c r="X39" s="282"/>
      <c r="Y39" s="282"/>
      <c r="Z39" s="282"/>
      <c r="AA39" s="282"/>
      <c r="AB39" s="282"/>
      <c r="AC39" s="282"/>
      <c r="AD39" s="282"/>
      <c r="AE39" s="282"/>
      <c r="AF39" s="282"/>
      <c r="AG39" s="283"/>
      <c r="AH39" s="281"/>
      <c r="AI39" s="282"/>
      <c r="AJ39" s="282"/>
      <c r="AK39" s="282"/>
      <c r="AL39" s="282"/>
      <c r="AM39" s="282"/>
      <c r="AN39" s="282"/>
      <c r="AO39" s="282"/>
      <c r="AP39" s="282"/>
      <c r="AQ39" s="282"/>
      <c r="AR39" s="283"/>
    </row>
    <row r="40" spans="1:44" ht="10.5" customHeight="1" x14ac:dyDescent="0.2">
      <c r="A40" s="284"/>
      <c r="B40" s="285"/>
      <c r="C40" s="285"/>
      <c r="D40" s="285"/>
      <c r="E40" s="285"/>
      <c r="F40" s="285"/>
      <c r="G40" s="285"/>
      <c r="H40" s="285"/>
      <c r="I40" s="285"/>
      <c r="J40" s="285"/>
      <c r="K40" s="286"/>
      <c r="L40" s="284"/>
      <c r="M40" s="285"/>
      <c r="N40" s="285"/>
      <c r="O40" s="285"/>
      <c r="P40" s="285"/>
      <c r="Q40" s="285"/>
      <c r="R40" s="285"/>
      <c r="S40" s="285"/>
      <c r="T40" s="285"/>
      <c r="U40" s="285"/>
      <c r="V40" s="286"/>
      <c r="W40" s="284"/>
      <c r="X40" s="285"/>
      <c r="Y40" s="285"/>
      <c r="Z40" s="285"/>
      <c r="AA40" s="285"/>
      <c r="AB40" s="285"/>
      <c r="AC40" s="285"/>
      <c r="AD40" s="285"/>
      <c r="AE40" s="285"/>
      <c r="AF40" s="285"/>
      <c r="AG40" s="286"/>
      <c r="AH40" s="284"/>
      <c r="AI40" s="285"/>
      <c r="AJ40" s="285"/>
      <c r="AK40" s="285"/>
      <c r="AL40" s="285"/>
      <c r="AM40" s="285"/>
      <c r="AN40" s="285"/>
      <c r="AO40" s="285"/>
      <c r="AP40" s="285"/>
      <c r="AQ40" s="285"/>
      <c r="AR40" s="286"/>
    </row>
    <row r="41" spans="1:44" ht="10.5" customHeight="1" x14ac:dyDescent="0.2">
      <c r="A41" s="272" t="str">
        <f>IF(計算シート!$M$78&gt;=6,6,"")</f>
        <v/>
      </c>
      <c r="B41" s="269" t="str">
        <f>IF(A41="","",INDEX(計算シート!$E$2:$M$77,MATCH(A41,計算シート!$E$2:$E$77,0),2))</f>
        <v/>
      </c>
      <c r="C41" s="270"/>
      <c r="D41" s="270"/>
      <c r="E41" s="269" t="str">
        <f>IF(A41="","",INDEX(計算シート!$E$2:$M$77,MATCH(A41,計算シート!$E$2:$E$77,0),3))</f>
        <v/>
      </c>
      <c r="F41" s="270"/>
      <c r="G41" s="270"/>
      <c r="H41" s="270"/>
      <c r="I41" s="270"/>
      <c r="J41" s="270"/>
      <c r="K41" s="270"/>
      <c r="L41" s="272" t="str">
        <f>IF(計算シート!$M$78&gt;=18,18,"")</f>
        <v/>
      </c>
      <c r="M41" s="269" t="str">
        <f>IF(L41="","",INDEX(計算シート!$E$2:$M$77,MATCH(L41,計算シート!$E$2:$E$77,0),2))</f>
        <v/>
      </c>
      <c r="N41" s="270"/>
      <c r="O41" s="270"/>
      <c r="P41" s="269" t="str">
        <f>IF(L41="","",INDEX(計算シート!$E$2:$M$77,MATCH(L41,計算シート!$E$2:$E$77,0),3))</f>
        <v/>
      </c>
      <c r="Q41" s="270"/>
      <c r="R41" s="270"/>
      <c r="S41" s="270"/>
      <c r="T41" s="270"/>
      <c r="U41" s="270"/>
      <c r="V41" s="270"/>
      <c r="W41" s="272" t="str">
        <f>IF(計算シート!$M$78&gt;=30,30,"")</f>
        <v/>
      </c>
      <c r="X41" s="269" t="str">
        <f>IF(W41="","",INDEX(計算シート!$E$2:$M$77,MATCH(W41,計算シート!$E$2:$E$77,0),2))</f>
        <v/>
      </c>
      <c r="Y41" s="270"/>
      <c r="Z41" s="270"/>
      <c r="AA41" s="269" t="str">
        <f>IF(W41="","",INDEX(計算シート!$E$2:$M$77,MATCH(W41,計算シート!$E$2:$E$77,0),3))</f>
        <v/>
      </c>
      <c r="AB41" s="270"/>
      <c r="AC41" s="270"/>
      <c r="AD41" s="270"/>
      <c r="AE41" s="270"/>
      <c r="AF41" s="270"/>
      <c r="AG41" s="270"/>
      <c r="AH41" s="272" t="str">
        <f>IF(計算シート!$M$78&gt;=42,42,"")</f>
        <v/>
      </c>
      <c r="AI41" s="269" t="str">
        <f>IF(AH41="","",INDEX(計算シート!$E$2:$M$77,MATCH(AH41,計算シート!$E$2:$E$77,0),2))</f>
        <v/>
      </c>
      <c r="AJ41" s="270"/>
      <c r="AK41" s="270"/>
      <c r="AL41" s="269" t="str">
        <f>IF(AH41="","",INDEX(計算シート!$E$2:$M$77,MATCH(AH41,計算シート!$E$2:$E$77,0),3))</f>
        <v/>
      </c>
      <c r="AM41" s="270"/>
      <c r="AN41" s="270"/>
      <c r="AO41" s="270"/>
      <c r="AP41" s="270"/>
      <c r="AQ41" s="270"/>
      <c r="AR41" s="270"/>
    </row>
    <row r="42" spans="1:44" ht="10.5" customHeight="1" x14ac:dyDescent="0.2">
      <c r="A42" s="273"/>
      <c r="B42" s="271"/>
      <c r="C42" s="271"/>
      <c r="D42" s="271"/>
      <c r="E42" s="271"/>
      <c r="F42" s="271"/>
      <c r="G42" s="271"/>
      <c r="H42" s="271"/>
      <c r="I42" s="271"/>
      <c r="J42" s="271"/>
      <c r="K42" s="271"/>
      <c r="L42" s="273"/>
      <c r="M42" s="271"/>
      <c r="N42" s="271"/>
      <c r="O42" s="271"/>
      <c r="P42" s="271"/>
      <c r="Q42" s="271"/>
      <c r="R42" s="271"/>
      <c r="S42" s="271"/>
      <c r="T42" s="271"/>
      <c r="U42" s="271"/>
      <c r="V42" s="271"/>
      <c r="W42" s="273"/>
      <c r="X42" s="271"/>
      <c r="Y42" s="271"/>
      <c r="Z42" s="271"/>
      <c r="AA42" s="271"/>
      <c r="AB42" s="271"/>
      <c r="AC42" s="271"/>
      <c r="AD42" s="271"/>
      <c r="AE42" s="271"/>
      <c r="AF42" s="271"/>
      <c r="AG42" s="271"/>
      <c r="AH42" s="273"/>
      <c r="AI42" s="271"/>
      <c r="AJ42" s="271"/>
      <c r="AK42" s="271"/>
      <c r="AL42" s="271"/>
      <c r="AM42" s="271"/>
      <c r="AN42" s="271"/>
      <c r="AO42" s="271"/>
      <c r="AP42" s="271"/>
      <c r="AQ42" s="271"/>
      <c r="AR42" s="271"/>
    </row>
    <row r="43" spans="1:44" ht="10.5" customHeight="1" x14ac:dyDescent="0.2">
      <c r="A43" s="278" t="str">
        <f>IF(A41="","",INDEX(計算シート!$E$2:$M$77,MATCH(A41,計算シート!$E$2:$E$77,0),9))</f>
        <v/>
      </c>
      <c r="B43" s="279"/>
      <c r="C43" s="279"/>
      <c r="D43" s="279"/>
      <c r="E43" s="279"/>
      <c r="F43" s="279"/>
      <c r="G43" s="279"/>
      <c r="H43" s="279"/>
      <c r="I43" s="279"/>
      <c r="J43" s="279"/>
      <c r="K43" s="280"/>
      <c r="L43" s="278" t="str">
        <f>IF(L41="","",INDEX(計算シート!$E$2:$M$77,MATCH(L41,計算シート!$E$2:$E$77,0),9))</f>
        <v/>
      </c>
      <c r="M43" s="279"/>
      <c r="N43" s="279"/>
      <c r="O43" s="279"/>
      <c r="P43" s="279"/>
      <c r="Q43" s="279"/>
      <c r="R43" s="279"/>
      <c r="S43" s="279"/>
      <c r="T43" s="279"/>
      <c r="U43" s="279"/>
      <c r="V43" s="280"/>
      <c r="W43" s="278" t="str">
        <f>IF(W41="","",INDEX(計算シート!$E$2:$M$77,MATCH(W41,計算シート!$E$2:$E$77,0),9))</f>
        <v/>
      </c>
      <c r="X43" s="279"/>
      <c r="Y43" s="279"/>
      <c r="Z43" s="279"/>
      <c r="AA43" s="279"/>
      <c r="AB43" s="279"/>
      <c r="AC43" s="279"/>
      <c r="AD43" s="279"/>
      <c r="AE43" s="279"/>
      <c r="AF43" s="279"/>
      <c r="AG43" s="280"/>
      <c r="AH43" s="278" t="str">
        <f>IF(AH41="","",INDEX(計算シート!$E$2:$M$77,MATCH(AH41,計算シート!$E$2:$E$77,0),9))</f>
        <v/>
      </c>
      <c r="AI43" s="279"/>
      <c r="AJ43" s="279"/>
      <c r="AK43" s="279"/>
      <c r="AL43" s="279"/>
      <c r="AM43" s="279"/>
      <c r="AN43" s="279"/>
      <c r="AO43" s="279"/>
      <c r="AP43" s="279"/>
      <c r="AQ43" s="279"/>
      <c r="AR43" s="280"/>
    </row>
    <row r="44" spans="1:44" ht="10.5" customHeight="1" x14ac:dyDescent="0.2">
      <c r="A44" s="281"/>
      <c r="B44" s="282"/>
      <c r="C44" s="282"/>
      <c r="D44" s="282"/>
      <c r="E44" s="282"/>
      <c r="F44" s="282"/>
      <c r="G44" s="282"/>
      <c r="H44" s="282"/>
      <c r="I44" s="282"/>
      <c r="J44" s="282"/>
      <c r="K44" s="283"/>
      <c r="L44" s="281"/>
      <c r="M44" s="282"/>
      <c r="N44" s="282"/>
      <c r="O44" s="282"/>
      <c r="P44" s="282"/>
      <c r="Q44" s="282"/>
      <c r="R44" s="282"/>
      <c r="S44" s="282"/>
      <c r="T44" s="282"/>
      <c r="U44" s="282"/>
      <c r="V44" s="283"/>
      <c r="W44" s="281"/>
      <c r="X44" s="282"/>
      <c r="Y44" s="282"/>
      <c r="Z44" s="282"/>
      <c r="AA44" s="282"/>
      <c r="AB44" s="282"/>
      <c r="AC44" s="282"/>
      <c r="AD44" s="282"/>
      <c r="AE44" s="282"/>
      <c r="AF44" s="282"/>
      <c r="AG44" s="283"/>
      <c r="AH44" s="281"/>
      <c r="AI44" s="282"/>
      <c r="AJ44" s="282"/>
      <c r="AK44" s="282"/>
      <c r="AL44" s="282"/>
      <c r="AM44" s="282"/>
      <c r="AN44" s="282"/>
      <c r="AO44" s="282"/>
      <c r="AP44" s="282"/>
      <c r="AQ44" s="282"/>
      <c r="AR44" s="283"/>
    </row>
    <row r="45" spans="1:44" ht="10.5" customHeight="1" x14ac:dyDescent="0.2">
      <c r="A45" s="281"/>
      <c r="B45" s="282"/>
      <c r="C45" s="282"/>
      <c r="D45" s="282"/>
      <c r="E45" s="282"/>
      <c r="F45" s="282"/>
      <c r="G45" s="282"/>
      <c r="H45" s="282"/>
      <c r="I45" s="282"/>
      <c r="J45" s="282"/>
      <c r="K45" s="283"/>
      <c r="L45" s="281"/>
      <c r="M45" s="282"/>
      <c r="N45" s="282"/>
      <c r="O45" s="282"/>
      <c r="P45" s="282"/>
      <c r="Q45" s="282"/>
      <c r="R45" s="282"/>
      <c r="S45" s="282"/>
      <c r="T45" s="282"/>
      <c r="U45" s="282"/>
      <c r="V45" s="283"/>
      <c r="W45" s="281"/>
      <c r="X45" s="282"/>
      <c r="Y45" s="282"/>
      <c r="Z45" s="282"/>
      <c r="AA45" s="282"/>
      <c r="AB45" s="282"/>
      <c r="AC45" s="282"/>
      <c r="AD45" s="282"/>
      <c r="AE45" s="282"/>
      <c r="AF45" s="282"/>
      <c r="AG45" s="283"/>
      <c r="AH45" s="281"/>
      <c r="AI45" s="282"/>
      <c r="AJ45" s="282"/>
      <c r="AK45" s="282"/>
      <c r="AL45" s="282"/>
      <c r="AM45" s="282"/>
      <c r="AN45" s="282"/>
      <c r="AO45" s="282"/>
      <c r="AP45" s="282"/>
      <c r="AQ45" s="282"/>
      <c r="AR45" s="283"/>
    </row>
    <row r="46" spans="1:44" ht="10.5" customHeight="1" x14ac:dyDescent="0.2">
      <c r="A46" s="281"/>
      <c r="B46" s="282"/>
      <c r="C46" s="282"/>
      <c r="D46" s="282"/>
      <c r="E46" s="282"/>
      <c r="F46" s="282"/>
      <c r="G46" s="282"/>
      <c r="H46" s="282"/>
      <c r="I46" s="282"/>
      <c r="J46" s="282"/>
      <c r="K46" s="283"/>
      <c r="L46" s="281"/>
      <c r="M46" s="282"/>
      <c r="N46" s="282"/>
      <c r="O46" s="282"/>
      <c r="P46" s="282"/>
      <c r="Q46" s="282"/>
      <c r="R46" s="282"/>
      <c r="S46" s="282"/>
      <c r="T46" s="282"/>
      <c r="U46" s="282"/>
      <c r="V46" s="283"/>
      <c r="W46" s="281"/>
      <c r="X46" s="282"/>
      <c r="Y46" s="282"/>
      <c r="Z46" s="282"/>
      <c r="AA46" s="282"/>
      <c r="AB46" s="282"/>
      <c r="AC46" s="282"/>
      <c r="AD46" s="282"/>
      <c r="AE46" s="282"/>
      <c r="AF46" s="282"/>
      <c r="AG46" s="283"/>
      <c r="AH46" s="281"/>
      <c r="AI46" s="282"/>
      <c r="AJ46" s="282"/>
      <c r="AK46" s="282"/>
      <c r="AL46" s="282"/>
      <c r="AM46" s="282"/>
      <c r="AN46" s="282"/>
      <c r="AO46" s="282"/>
      <c r="AP46" s="282"/>
      <c r="AQ46" s="282"/>
      <c r="AR46" s="283"/>
    </row>
    <row r="47" spans="1:44" ht="10.5" customHeight="1" x14ac:dyDescent="0.2">
      <c r="A47" s="284"/>
      <c r="B47" s="285"/>
      <c r="C47" s="285"/>
      <c r="D47" s="285"/>
      <c r="E47" s="285"/>
      <c r="F47" s="285"/>
      <c r="G47" s="285"/>
      <c r="H47" s="285"/>
      <c r="I47" s="285"/>
      <c r="J47" s="285"/>
      <c r="K47" s="286"/>
      <c r="L47" s="284"/>
      <c r="M47" s="285"/>
      <c r="N47" s="285"/>
      <c r="O47" s="285"/>
      <c r="P47" s="285"/>
      <c r="Q47" s="285"/>
      <c r="R47" s="285"/>
      <c r="S47" s="285"/>
      <c r="T47" s="285"/>
      <c r="U47" s="285"/>
      <c r="V47" s="286"/>
      <c r="W47" s="284"/>
      <c r="X47" s="285"/>
      <c r="Y47" s="285"/>
      <c r="Z47" s="285"/>
      <c r="AA47" s="285"/>
      <c r="AB47" s="285"/>
      <c r="AC47" s="285"/>
      <c r="AD47" s="285"/>
      <c r="AE47" s="285"/>
      <c r="AF47" s="285"/>
      <c r="AG47" s="286"/>
      <c r="AH47" s="284"/>
      <c r="AI47" s="285"/>
      <c r="AJ47" s="285"/>
      <c r="AK47" s="285"/>
      <c r="AL47" s="285"/>
      <c r="AM47" s="285"/>
      <c r="AN47" s="285"/>
      <c r="AO47" s="285"/>
      <c r="AP47" s="285"/>
      <c r="AQ47" s="285"/>
      <c r="AR47" s="286"/>
    </row>
    <row r="48" spans="1:44" ht="10.5" customHeight="1" x14ac:dyDescent="0.2">
      <c r="A48" s="272" t="str">
        <f>IF(計算シート!$M$78&gt;=7,7,"")</f>
        <v/>
      </c>
      <c r="B48" s="269" t="str">
        <f>IF(A48="","",INDEX(計算シート!$E$2:$M$77,MATCH(A48,計算シート!$E$2:$E$77,0),2))</f>
        <v/>
      </c>
      <c r="C48" s="270"/>
      <c r="D48" s="270"/>
      <c r="E48" s="269" t="str">
        <f>IF(A48="","",INDEX(計算シート!$E$2:$M$77,MATCH(A48,計算シート!$E$2:$E$77,0),3))</f>
        <v/>
      </c>
      <c r="F48" s="270"/>
      <c r="G48" s="270"/>
      <c r="H48" s="270"/>
      <c r="I48" s="270"/>
      <c r="J48" s="270"/>
      <c r="K48" s="270"/>
      <c r="L48" s="272" t="str">
        <f>IF(計算シート!$M$78&gt;=19,19,"")</f>
        <v/>
      </c>
      <c r="M48" s="269" t="str">
        <f>IF(L48="","",INDEX(計算シート!$E$2:$M$77,MATCH(L48,計算シート!$E$2:$E$77,0),2))</f>
        <v/>
      </c>
      <c r="N48" s="270"/>
      <c r="O48" s="270"/>
      <c r="P48" s="269" t="str">
        <f>IF(L48="","",INDEX(計算シート!$E$2:$M$77,MATCH(L48,計算シート!$E$2:$E$77,0),3))</f>
        <v/>
      </c>
      <c r="Q48" s="270"/>
      <c r="R48" s="270"/>
      <c r="S48" s="270"/>
      <c r="T48" s="270"/>
      <c r="U48" s="270"/>
      <c r="V48" s="270"/>
      <c r="W48" s="272" t="str">
        <f>IF(計算シート!$M$78&gt;=31,31,"")</f>
        <v/>
      </c>
      <c r="X48" s="269" t="str">
        <f>IF(W48="","",INDEX(計算シート!$E$2:$M$77,MATCH(W48,計算シート!$E$2:$E$77,0),2))</f>
        <v/>
      </c>
      <c r="Y48" s="270"/>
      <c r="Z48" s="270"/>
      <c r="AA48" s="269" t="str">
        <f>IF(W48="","",INDEX(計算シート!$E$2:$M$77,MATCH(W48,計算シート!$E$2:$E$77,0),3))</f>
        <v/>
      </c>
      <c r="AB48" s="270"/>
      <c r="AC48" s="270"/>
      <c r="AD48" s="270"/>
      <c r="AE48" s="270"/>
      <c r="AF48" s="270"/>
      <c r="AG48" s="270"/>
      <c r="AH48" s="272" t="str">
        <f>IF(計算シート!$M$78&gt;=43,43,"")</f>
        <v/>
      </c>
      <c r="AI48" s="269" t="str">
        <f>IF(AH48="","",INDEX(計算シート!$E$2:$M$77,MATCH(AH48,計算シート!$E$2:$E$77,0),2))</f>
        <v/>
      </c>
      <c r="AJ48" s="270"/>
      <c r="AK48" s="270"/>
      <c r="AL48" s="269" t="str">
        <f>IF(AH48="","",INDEX(計算シート!$E$2:$M$77,MATCH(AH48,計算シート!$E$2:$E$77,0),3))</f>
        <v/>
      </c>
      <c r="AM48" s="270"/>
      <c r="AN48" s="270"/>
      <c r="AO48" s="270"/>
      <c r="AP48" s="270"/>
      <c r="AQ48" s="270"/>
      <c r="AR48" s="270"/>
    </row>
    <row r="49" spans="1:44" ht="10.5" customHeight="1" x14ac:dyDescent="0.2">
      <c r="A49" s="273"/>
      <c r="B49" s="271"/>
      <c r="C49" s="271"/>
      <c r="D49" s="271"/>
      <c r="E49" s="271"/>
      <c r="F49" s="271"/>
      <c r="G49" s="271"/>
      <c r="H49" s="271"/>
      <c r="I49" s="271"/>
      <c r="J49" s="271"/>
      <c r="K49" s="271"/>
      <c r="L49" s="273"/>
      <c r="M49" s="271"/>
      <c r="N49" s="271"/>
      <c r="O49" s="271"/>
      <c r="P49" s="271"/>
      <c r="Q49" s="271"/>
      <c r="R49" s="271"/>
      <c r="S49" s="271"/>
      <c r="T49" s="271"/>
      <c r="U49" s="271"/>
      <c r="V49" s="271"/>
      <c r="W49" s="273"/>
      <c r="X49" s="271"/>
      <c r="Y49" s="271"/>
      <c r="Z49" s="271"/>
      <c r="AA49" s="271"/>
      <c r="AB49" s="271"/>
      <c r="AC49" s="271"/>
      <c r="AD49" s="271"/>
      <c r="AE49" s="271"/>
      <c r="AF49" s="271"/>
      <c r="AG49" s="271"/>
      <c r="AH49" s="273"/>
      <c r="AI49" s="271"/>
      <c r="AJ49" s="271"/>
      <c r="AK49" s="271"/>
      <c r="AL49" s="271"/>
      <c r="AM49" s="271"/>
      <c r="AN49" s="271"/>
      <c r="AO49" s="271"/>
      <c r="AP49" s="271"/>
      <c r="AQ49" s="271"/>
      <c r="AR49" s="271"/>
    </row>
    <row r="50" spans="1:44" ht="10.5" customHeight="1" x14ac:dyDescent="0.2">
      <c r="A50" s="278" t="str">
        <f>IF(A48="","",INDEX(計算シート!$E$2:$M$77,MATCH(A48,計算シート!$E$2:$E$77,0),9))</f>
        <v/>
      </c>
      <c r="B50" s="279"/>
      <c r="C50" s="279"/>
      <c r="D50" s="279"/>
      <c r="E50" s="279"/>
      <c r="F50" s="279"/>
      <c r="G50" s="279"/>
      <c r="H50" s="279"/>
      <c r="I50" s="279"/>
      <c r="J50" s="279"/>
      <c r="K50" s="280"/>
      <c r="L50" s="278" t="str">
        <f>IF(L48="","",INDEX(計算シート!$E$2:$M$77,MATCH(L48,計算シート!$E$2:$E$77,0),9))</f>
        <v/>
      </c>
      <c r="M50" s="279"/>
      <c r="N50" s="279"/>
      <c r="O50" s="279"/>
      <c r="P50" s="279"/>
      <c r="Q50" s="279"/>
      <c r="R50" s="279"/>
      <c r="S50" s="279"/>
      <c r="T50" s="279"/>
      <c r="U50" s="279"/>
      <c r="V50" s="280"/>
      <c r="W50" s="278" t="str">
        <f>IF(W48="","",INDEX(計算シート!$E$2:$M$77,MATCH(W48,計算シート!$E$2:$E$77,0),9))</f>
        <v/>
      </c>
      <c r="X50" s="279"/>
      <c r="Y50" s="279"/>
      <c r="Z50" s="279"/>
      <c r="AA50" s="279"/>
      <c r="AB50" s="279"/>
      <c r="AC50" s="279"/>
      <c r="AD50" s="279"/>
      <c r="AE50" s="279"/>
      <c r="AF50" s="279"/>
      <c r="AG50" s="280"/>
      <c r="AH50" s="278" t="str">
        <f>IF(AH48="","",INDEX(計算シート!$E$2:$M$77,MATCH(AH48,計算シート!$E$2:$E$77,0),9))</f>
        <v/>
      </c>
      <c r="AI50" s="279"/>
      <c r="AJ50" s="279"/>
      <c r="AK50" s="279"/>
      <c r="AL50" s="279"/>
      <c r="AM50" s="279"/>
      <c r="AN50" s="279"/>
      <c r="AO50" s="279"/>
      <c r="AP50" s="279"/>
      <c r="AQ50" s="279"/>
      <c r="AR50" s="280"/>
    </row>
    <row r="51" spans="1:44" ht="10.5" customHeight="1" x14ac:dyDescent="0.2">
      <c r="A51" s="281"/>
      <c r="B51" s="282"/>
      <c r="C51" s="282"/>
      <c r="D51" s="282"/>
      <c r="E51" s="282"/>
      <c r="F51" s="282"/>
      <c r="G51" s="282"/>
      <c r="H51" s="282"/>
      <c r="I51" s="282"/>
      <c r="J51" s="282"/>
      <c r="K51" s="283"/>
      <c r="L51" s="281"/>
      <c r="M51" s="282"/>
      <c r="N51" s="282"/>
      <c r="O51" s="282"/>
      <c r="P51" s="282"/>
      <c r="Q51" s="282"/>
      <c r="R51" s="282"/>
      <c r="S51" s="282"/>
      <c r="T51" s="282"/>
      <c r="U51" s="282"/>
      <c r="V51" s="283"/>
      <c r="W51" s="281"/>
      <c r="X51" s="282"/>
      <c r="Y51" s="282"/>
      <c r="Z51" s="282"/>
      <c r="AA51" s="282"/>
      <c r="AB51" s="282"/>
      <c r="AC51" s="282"/>
      <c r="AD51" s="282"/>
      <c r="AE51" s="282"/>
      <c r="AF51" s="282"/>
      <c r="AG51" s="283"/>
      <c r="AH51" s="281"/>
      <c r="AI51" s="282"/>
      <c r="AJ51" s="282"/>
      <c r="AK51" s="282"/>
      <c r="AL51" s="282"/>
      <c r="AM51" s="282"/>
      <c r="AN51" s="282"/>
      <c r="AO51" s="282"/>
      <c r="AP51" s="282"/>
      <c r="AQ51" s="282"/>
      <c r="AR51" s="283"/>
    </row>
    <row r="52" spans="1:44" ht="10.5" customHeight="1" x14ac:dyDescent="0.2">
      <c r="A52" s="281"/>
      <c r="B52" s="282"/>
      <c r="C52" s="282"/>
      <c r="D52" s="282"/>
      <c r="E52" s="282"/>
      <c r="F52" s="282"/>
      <c r="G52" s="282"/>
      <c r="H52" s="282"/>
      <c r="I52" s="282"/>
      <c r="J52" s="282"/>
      <c r="K52" s="283"/>
      <c r="L52" s="281"/>
      <c r="M52" s="282"/>
      <c r="N52" s="282"/>
      <c r="O52" s="282"/>
      <c r="P52" s="282"/>
      <c r="Q52" s="282"/>
      <c r="R52" s="282"/>
      <c r="S52" s="282"/>
      <c r="T52" s="282"/>
      <c r="U52" s="282"/>
      <c r="V52" s="283"/>
      <c r="W52" s="281"/>
      <c r="X52" s="282"/>
      <c r="Y52" s="282"/>
      <c r="Z52" s="282"/>
      <c r="AA52" s="282"/>
      <c r="AB52" s="282"/>
      <c r="AC52" s="282"/>
      <c r="AD52" s="282"/>
      <c r="AE52" s="282"/>
      <c r="AF52" s="282"/>
      <c r="AG52" s="283"/>
      <c r="AH52" s="281"/>
      <c r="AI52" s="282"/>
      <c r="AJ52" s="282"/>
      <c r="AK52" s="282"/>
      <c r="AL52" s="282"/>
      <c r="AM52" s="282"/>
      <c r="AN52" s="282"/>
      <c r="AO52" s="282"/>
      <c r="AP52" s="282"/>
      <c r="AQ52" s="282"/>
      <c r="AR52" s="283"/>
    </row>
    <row r="53" spans="1:44" ht="10.5" customHeight="1" x14ac:dyDescent="0.2">
      <c r="A53" s="281"/>
      <c r="B53" s="282"/>
      <c r="C53" s="282"/>
      <c r="D53" s="282"/>
      <c r="E53" s="282"/>
      <c r="F53" s="282"/>
      <c r="G53" s="282"/>
      <c r="H53" s="282"/>
      <c r="I53" s="282"/>
      <c r="J53" s="282"/>
      <c r="K53" s="283"/>
      <c r="L53" s="281"/>
      <c r="M53" s="282"/>
      <c r="N53" s="282"/>
      <c r="O53" s="282"/>
      <c r="P53" s="282"/>
      <c r="Q53" s="282"/>
      <c r="R53" s="282"/>
      <c r="S53" s="282"/>
      <c r="T53" s="282"/>
      <c r="U53" s="282"/>
      <c r="V53" s="283"/>
      <c r="W53" s="281"/>
      <c r="X53" s="282"/>
      <c r="Y53" s="282"/>
      <c r="Z53" s="282"/>
      <c r="AA53" s="282"/>
      <c r="AB53" s="282"/>
      <c r="AC53" s="282"/>
      <c r="AD53" s="282"/>
      <c r="AE53" s="282"/>
      <c r="AF53" s="282"/>
      <c r="AG53" s="283"/>
      <c r="AH53" s="281"/>
      <c r="AI53" s="282"/>
      <c r="AJ53" s="282"/>
      <c r="AK53" s="282"/>
      <c r="AL53" s="282"/>
      <c r="AM53" s="282"/>
      <c r="AN53" s="282"/>
      <c r="AO53" s="282"/>
      <c r="AP53" s="282"/>
      <c r="AQ53" s="282"/>
      <c r="AR53" s="283"/>
    </row>
    <row r="54" spans="1:44" ht="10.5" customHeight="1" x14ac:dyDescent="0.2">
      <c r="A54" s="284"/>
      <c r="B54" s="285"/>
      <c r="C54" s="285"/>
      <c r="D54" s="285"/>
      <c r="E54" s="285"/>
      <c r="F54" s="285"/>
      <c r="G54" s="285"/>
      <c r="H54" s="285"/>
      <c r="I54" s="285"/>
      <c r="J54" s="285"/>
      <c r="K54" s="286"/>
      <c r="L54" s="284"/>
      <c r="M54" s="285"/>
      <c r="N54" s="285"/>
      <c r="O54" s="285"/>
      <c r="P54" s="285"/>
      <c r="Q54" s="285"/>
      <c r="R54" s="285"/>
      <c r="S54" s="285"/>
      <c r="T54" s="285"/>
      <c r="U54" s="285"/>
      <c r="V54" s="286"/>
      <c r="W54" s="284"/>
      <c r="X54" s="285"/>
      <c r="Y54" s="285"/>
      <c r="Z54" s="285"/>
      <c r="AA54" s="285"/>
      <c r="AB54" s="285"/>
      <c r="AC54" s="285"/>
      <c r="AD54" s="285"/>
      <c r="AE54" s="285"/>
      <c r="AF54" s="285"/>
      <c r="AG54" s="286"/>
      <c r="AH54" s="284"/>
      <c r="AI54" s="285"/>
      <c r="AJ54" s="285"/>
      <c r="AK54" s="285"/>
      <c r="AL54" s="285"/>
      <c r="AM54" s="285"/>
      <c r="AN54" s="285"/>
      <c r="AO54" s="285"/>
      <c r="AP54" s="285"/>
      <c r="AQ54" s="285"/>
      <c r="AR54" s="286"/>
    </row>
    <row r="55" spans="1:44" ht="10.5" customHeight="1" x14ac:dyDescent="0.2">
      <c r="A55" s="272" t="str">
        <f>IF(計算シート!$M$78&gt;=8,8,"")</f>
        <v/>
      </c>
      <c r="B55" s="269" t="str">
        <f>IF(A55="","",INDEX(計算シート!$E$2:$M$77,MATCH(A55,計算シート!$E$2:$E$77,0),2))</f>
        <v/>
      </c>
      <c r="C55" s="270"/>
      <c r="D55" s="270"/>
      <c r="E55" s="269" t="str">
        <f>IF(A55="","",INDEX(計算シート!$E$2:$M$77,MATCH(A55,計算シート!$E$2:$E$77,0),3))</f>
        <v/>
      </c>
      <c r="F55" s="270"/>
      <c r="G55" s="270"/>
      <c r="H55" s="270"/>
      <c r="I55" s="270"/>
      <c r="J55" s="270"/>
      <c r="K55" s="270"/>
      <c r="L55" s="272" t="str">
        <f>IF(計算シート!$M$78&gt;=20,20,"")</f>
        <v/>
      </c>
      <c r="M55" s="269" t="str">
        <f>IF(L55="","",INDEX(計算シート!$E$2:$M$77,MATCH(L55,計算シート!$E$2:$E$77,0),2))</f>
        <v/>
      </c>
      <c r="N55" s="270"/>
      <c r="O55" s="270"/>
      <c r="P55" s="269" t="str">
        <f>IF(L55="","",INDEX(計算シート!$E$2:$M$77,MATCH(L55,計算シート!$E$2:$E$77,0),3))</f>
        <v/>
      </c>
      <c r="Q55" s="270"/>
      <c r="R55" s="270"/>
      <c r="S55" s="270"/>
      <c r="T55" s="270"/>
      <c r="U55" s="270"/>
      <c r="V55" s="270"/>
      <c r="W55" s="272" t="str">
        <f>IF(計算シート!$M$78&gt;=32,32,"")</f>
        <v/>
      </c>
      <c r="X55" s="269" t="str">
        <f>IF(W55="","",INDEX(計算シート!$E$2:$M$77,MATCH(W55,計算シート!$E$2:$E$77,0),2))</f>
        <v/>
      </c>
      <c r="Y55" s="270"/>
      <c r="Z55" s="270"/>
      <c r="AA55" s="269" t="str">
        <f>IF(W55="","",INDEX(計算シート!$E$2:$M$77,MATCH(W55,計算シート!$E$2:$E$77,0),3))</f>
        <v/>
      </c>
      <c r="AB55" s="270"/>
      <c r="AC55" s="270"/>
      <c r="AD55" s="270"/>
      <c r="AE55" s="270"/>
      <c r="AF55" s="270"/>
      <c r="AG55" s="270"/>
      <c r="AH55" s="272" t="str">
        <f>IF(計算シート!$M$78&gt;=44,44,"")</f>
        <v/>
      </c>
      <c r="AI55" s="269" t="str">
        <f>IF(AH55="","",INDEX(計算シート!$E$2:$M$77,MATCH(AH55,計算シート!$E$2:$E$77,0),2))</f>
        <v/>
      </c>
      <c r="AJ55" s="270"/>
      <c r="AK55" s="270"/>
      <c r="AL55" s="269" t="str">
        <f>IF(AH55="","",INDEX(計算シート!$E$2:$M$77,MATCH(AH55,計算シート!$E$2:$E$77,0),3))</f>
        <v/>
      </c>
      <c r="AM55" s="270"/>
      <c r="AN55" s="270"/>
      <c r="AO55" s="270"/>
      <c r="AP55" s="270"/>
      <c r="AQ55" s="270"/>
      <c r="AR55" s="270"/>
    </row>
    <row r="56" spans="1:44" ht="10.5" customHeight="1" x14ac:dyDescent="0.2">
      <c r="A56" s="273"/>
      <c r="B56" s="271"/>
      <c r="C56" s="271"/>
      <c r="D56" s="271"/>
      <c r="E56" s="271"/>
      <c r="F56" s="271"/>
      <c r="G56" s="271"/>
      <c r="H56" s="271"/>
      <c r="I56" s="271"/>
      <c r="J56" s="271"/>
      <c r="K56" s="271"/>
      <c r="L56" s="273"/>
      <c r="M56" s="271"/>
      <c r="N56" s="271"/>
      <c r="O56" s="271"/>
      <c r="P56" s="271"/>
      <c r="Q56" s="271"/>
      <c r="R56" s="271"/>
      <c r="S56" s="271"/>
      <c r="T56" s="271"/>
      <c r="U56" s="271"/>
      <c r="V56" s="271"/>
      <c r="W56" s="273"/>
      <c r="X56" s="271"/>
      <c r="Y56" s="271"/>
      <c r="Z56" s="271"/>
      <c r="AA56" s="271"/>
      <c r="AB56" s="271"/>
      <c r="AC56" s="271"/>
      <c r="AD56" s="271"/>
      <c r="AE56" s="271"/>
      <c r="AF56" s="271"/>
      <c r="AG56" s="271"/>
      <c r="AH56" s="273"/>
      <c r="AI56" s="271"/>
      <c r="AJ56" s="271"/>
      <c r="AK56" s="271"/>
      <c r="AL56" s="271"/>
      <c r="AM56" s="271"/>
      <c r="AN56" s="271"/>
      <c r="AO56" s="271"/>
      <c r="AP56" s="271"/>
      <c r="AQ56" s="271"/>
      <c r="AR56" s="271"/>
    </row>
    <row r="57" spans="1:44" ht="10.5" customHeight="1" x14ac:dyDescent="0.2">
      <c r="A57" s="278" t="str">
        <f>IF(A55="","",INDEX(計算シート!$E$2:$M$77,MATCH(A55,計算シート!$E$2:$E$77,0),9))</f>
        <v/>
      </c>
      <c r="B57" s="279"/>
      <c r="C57" s="279"/>
      <c r="D57" s="279"/>
      <c r="E57" s="279"/>
      <c r="F57" s="279"/>
      <c r="G57" s="279"/>
      <c r="H57" s="279"/>
      <c r="I57" s="279"/>
      <c r="J57" s="279"/>
      <c r="K57" s="280"/>
      <c r="L57" s="278" t="str">
        <f>IF(L55="","",INDEX(計算シート!$E$2:$M$77,MATCH(L55,計算シート!$E$2:$E$77,0),9))</f>
        <v/>
      </c>
      <c r="M57" s="279"/>
      <c r="N57" s="279"/>
      <c r="O57" s="279"/>
      <c r="P57" s="279"/>
      <c r="Q57" s="279"/>
      <c r="R57" s="279"/>
      <c r="S57" s="279"/>
      <c r="T57" s="279"/>
      <c r="U57" s="279"/>
      <c r="V57" s="280"/>
      <c r="W57" s="278" t="str">
        <f>IF(W55="","",INDEX(計算シート!$E$2:$M$77,MATCH(W55,計算シート!$E$2:$E$77,0),9))</f>
        <v/>
      </c>
      <c r="X57" s="279"/>
      <c r="Y57" s="279"/>
      <c r="Z57" s="279"/>
      <c r="AA57" s="279"/>
      <c r="AB57" s="279"/>
      <c r="AC57" s="279"/>
      <c r="AD57" s="279"/>
      <c r="AE57" s="279"/>
      <c r="AF57" s="279"/>
      <c r="AG57" s="280"/>
      <c r="AH57" s="278" t="str">
        <f>IF(AH55="","",INDEX(計算シート!$E$2:$M$77,MATCH(AH55,計算シート!$E$2:$E$77,0),9))</f>
        <v/>
      </c>
      <c r="AI57" s="279"/>
      <c r="AJ57" s="279"/>
      <c r="AK57" s="279"/>
      <c r="AL57" s="279"/>
      <c r="AM57" s="279"/>
      <c r="AN57" s="279"/>
      <c r="AO57" s="279"/>
      <c r="AP57" s="279"/>
      <c r="AQ57" s="279"/>
      <c r="AR57" s="280"/>
    </row>
    <row r="58" spans="1:44" ht="10.5" customHeight="1" x14ac:dyDescent="0.2">
      <c r="A58" s="281"/>
      <c r="B58" s="282"/>
      <c r="C58" s="282"/>
      <c r="D58" s="282"/>
      <c r="E58" s="282"/>
      <c r="F58" s="282"/>
      <c r="G58" s="282"/>
      <c r="H58" s="282"/>
      <c r="I58" s="282"/>
      <c r="J58" s="282"/>
      <c r="K58" s="283"/>
      <c r="L58" s="281"/>
      <c r="M58" s="282"/>
      <c r="N58" s="282"/>
      <c r="O58" s="282"/>
      <c r="P58" s="282"/>
      <c r="Q58" s="282"/>
      <c r="R58" s="282"/>
      <c r="S58" s="282"/>
      <c r="T58" s="282"/>
      <c r="U58" s="282"/>
      <c r="V58" s="283"/>
      <c r="W58" s="281"/>
      <c r="X58" s="282"/>
      <c r="Y58" s="282"/>
      <c r="Z58" s="282"/>
      <c r="AA58" s="282"/>
      <c r="AB58" s="282"/>
      <c r="AC58" s="282"/>
      <c r="AD58" s="282"/>
      <c r="AE58" s="282"/>
      <c r="AF58" s="282"/>
      <c r="AG58" s="283"/>
      <c r="AH58" s="281"/>
      <c r="AI58" s="282"/>
      <c r="AJ58" s="282"/>
      <c r="AK58" s="282"/>
      <c r="AL58" s="282"/>
      <c r="AM58" s="282"/>
      <c r="AN58" s="282"/>
      <c r="AO58" s="282"/>
      <c r="AP58" s="282"/>
      <c r="AQ58" s="282"/>
      <c r="AR58" s="283"/>
    </row>
    <row r="59" spans="1:44" ht="10.5" customHeight="1" x14ac:dyDescent="0.2">
      <c r="A59" s="281"/>
      <c r="B59" s="282"/>
      <c r="C59" s="282"/>
      <c r="D59" s="282"/>
      <c r="E59" s="282"/>
      <c r="F59" s="282"/>
      <c r="G59" s="282"/>
      <c r="H59" s="282"/>
      <c r="I59" s="282"/>
      <c r="J59" s="282"/>
      <c r="K59" s="283"/>
      <c r="L59" s="281"/>
      <c r="M59" s="282"/>
      <c r="N59" s="282"/>
      <c r="O59" s="282"/>
      <c r="P59" s="282"/>
      <c r="Q59" s="282"/>
      <c r="R59" s="282"/>
      <c r="S59" s="282"/>
      <c r="T59" s="282"/>
      <c r="U59" s="282"/>
      <c r="V59" s="283"/>
      <c r="W59" s="281"/>
      <c r="X59" s="282"/>
      <c r="Y59" s="282"/>
      <c r="Z59" s="282"/>
      <c r="AA59" s="282"/>
      <c r="AB59" s="282"/>
      <c r="AC59" s="282"/>
      <c r="AD59" s="282"/>
      <c r="AE59" s="282"/>
      <c r="AF59" s="282"/>
      <c r="AG59" s="283"/>
      <c r="AH59" s="281"/>
      <c r="AI59" s="282"/>
      <c r="AJ59" s="282"/>
      <c r="AK59" s="282"/>
      <c r="AL59" s="282"/>
      <c r="AM59" s="282"/>
      <c r="AN59" s="282"/>
      <c r="AO59" s="282"/>
      <c r="AP59" s="282"/>
      <c r="AQ59" s="282"/>
      <c r="AR59" s="283"/>
    </row>
    <row r="60" spans="1:44" ht="10.5" customHeight="1" x14ac:dyDescent="0.2">
      <c r="A60" s="281"/>
      <c r="B60" s="282"/>
      <c r="C60" s="282"/>
      <c r="D60" s="282"/>
      <c r="E60" s="282"/>
      <c r="F60" s="282"/>
      <c r="G60" s="282"/>
      <c r="H60" s="282"/>
      <c r="I60" s="282"/>
      <c r="J60" s="282"/>
      <c r="K60" s="283"/>
      <c r="L60" s="281"/>
      <c r="M60" s="282"/>
      <c r="N60" s="282"/>
      <c r="O60" s="282"/>
      <c r="P60" s="282"/>
      <c r="Q60" s="282"/>
      <c r="R60" s="282"/>
      <c r="S60" s="282"/>
      <c r="T60" s="282"/>
      <c r="U60" s="282"/>
      <c r="V60" s="283"/>
      <c r="W60" s="281"/>
      <c r="X60" s="282"/>
      <c r="Y60" s="282"/>
      <c r="Z60" s="282"/>
      <c r="AA60" s="282"/>
      <c r="AB60" s="282"/>
      <c r="AC60" s="282"/>
      <c r="AD60" s="282"/>
      <c r="AE60" s="282"/>
      <c r="AF60" s="282"/>
      <c r="AG60" s="283"/>
      <c r="AH60" s="281"/>
      <c r="AI60" s="282"/>
      <c r="AJ60" s="282"/>
      <c r="AK60" s="282"/>
      <c r="AL60" s="282"/>
      <c r="AM60" s="282"/>
      <c r="AN60" s="282"/>
      <c r="AO60" s="282"/>
      <c r="AP60" s="282"/>
      <c r="AQ60" s="282"/>
      <c r="AR60" s="283"/>
    </row>
    <row r="61" spans="1:44" ht="10.5" customHeight="1" x14ac:dyDescent="0.2">
      <c r="A61" s="284"/>
      <c r="B61" s="285"/>
      <c r="C61" s="285"/>
      <c r="D61" s="285"/>
      <c r="E61" s="285"/>
      <c r="F61" s="285"/>
      <c r="G61" s="285"/>
      <c r="H61" s="285"/>
      <c r="I61" s="285"/>
      <c r="J61" s="285"/>
      <c r="K61" s="286"/>
      <c r="L61" s="284"/>
      <c r="M61" s="285"/>
      <c r="N61" s="285"/>
      <c r="O61" s="285"/>
      <c r="P61" s="285"/>
      <c r="Q61" s="285"/>
      <c r="R61" s="285"/>
      <c r="S61" s="285"/>
      <c r="T61" s="285"/>
      <c r="U61" s="285"/>
      <c r="V61" s="286"/>
      <c r="W61" s="284"/>
      <c r="X61" s="285"/>
      <c r="Y61" s="285"/>
      <c r="Z61" s="285"/>
      <c r="AA61" s="285"/>
      <c r="AB61" s="285"/>
      <c r="AC61" s="285"/>
      <c r="AD61" s="285"/>
      <c r="AE61" s="285"/>
      <c r="AF61" s="285"/>
      <c r="AG61" s="286"/>
      <c r="AH61" s="284"/>
      <c r="AI61" s="285"/>
      <c r="AJ61" s="285"/>
      <c r="AK61" s="285"/>
      <c r="AL61" s="285"/>
      <c r="AM61" s="285"/>
      <c r="AN61" s="285"/>
      <c r="AO61" s="285"/>
      <c r="AP61" s="285"/>
      <c r="AQ61" s="285"/>
      <c r="AR61" s="286"/>
    </row>
    <row r="62" spans="1:44" ht="10.5" customHeight="1" x14ac:dyDescent="0.2">
      <c r="A62" s="272" t="str">
        <f>IF(計算シート!$M$78&gt;=9,9,"")</f>
        <v/>
      </c>
      <c r="B62" s="269" t="str">
        <f>IF(A62="","",INDEX(計算シート!$E$2:$M$77,MATCH(A62,計算シート!$E$2:$E$77,0),2))</f>
        <v/>
      </c>
      <c r="C62" s="270"/>
      <c r="D62" s="270"/>
      <c r="E62" s="269" t="str">
        <f>IF(A62="","",INDEX(計算シート!$E$2:$M$77,MATCH(A62,計算シート!$E$2:$E$77,0),3))</f>
        <v/>
      </c>
      <c r="F62" s="270"/>
      <c r="G62" s="270"/>
      <c r="H62" s="270"/>
      <c r="I62" s="270"/>
      <c r="J62" s="270"/>
      <c r="K62" s="270"/>
      <c r="L62" s="272" t="str">
        <f>IF(計算シート!$M$78&gt;=21,21,"")</f>
        <v/>
      </c>
      <c r="M62" s="269" t="str">
        <f>IF(L62="","",INDEX(計算シート!$E$2:$M$77,MATCH(L62,計算シート!$E$2:$E$77,0),2))</f>
        <v/>
      </c>
      <c r="N62" s="270"/>
      <c r="O62" s="270"/>
      <c r="P62" s="269" t="str">
        <f>IF(L62="","",INDEX(計算シート!$E$2:$M$77,MATCH(L62,計算シート!$E$2:$E$77,0),3))</f>
        <v/>
      </c>
      <c r="Q62" s="270"/>
      <c r="R62" s="270"/>
      <c r="S62" s="270"/>
      <c r="T62" s="270"/>
      <c r="U62" s="270"/>
      <c r="V62" s="270"/>
      <c r="W62" s="272" t="str">
        <f>IF(計算シート!$M$78&gt;=33,33,"")</f>
        <v/>
      </c>
      <c r="X62" s="269" t="str">
        <f>IF(W62="","",INDEX(計算シート!$E$2:$M$77,MATCH(W62,計算シート!$E$2:$E$77,0),2))</f>
        <v/>
      </c>
      <c r="Y62" s="270"/>
      <c r="Z62" s="270"/>
      <c r="AA62" s="269" t="str">
        <f>IF(W62="","",INDEX(計算シート!$E$2:$M$77,MATCH(W62,計算シート!$E$2:$E$77,0),3))</f>
        <v/>
      </c>
      <c r="AB62" s="270"/>
      <c r="AC62" s="270"/>
      <c r="AD62" s="270"/>
      <c r="AE62" s="270"/>
      <c r="AF62" s="270"/>
      <c r="AG62" s="270"/>
      <c r="AH62" s="272" t="str">
        <f>IF(計算シート!$M$78&gt;=45,45,"")</f>
        <v/>
      </c>
      <c r="AI62" s="269" t="str">
        <f>IF(AH62="","",INDEX(計算シート!$E$2:$M$77,MATCH(AH62,計算シート!$E$2:$E$77,0),2))</f>
        <v/>
      </c>
      <c r="AJ62" s="270"/>
      <c r="AK62" s="270"/>
      <c r="AL62" s="269" t="str">
        <f>IF(AH62="","",INDEX(計算シート!$E$2:$M$77,MATCH(AH62,計算シート!$E$2:$E$77,0),3))</f>
        <v/>
      </c>
      <c r="AM62" s="270"/>
      <c r="AN62" s="270"/>
      <c r="AO62" s="270"/>
      <c r="AP62" s="270"/>
      <c r="AQ62" s="270"/>
      <c r="AR62" s="270"/>
    </row>
    <row r="63" spans="1:44" ht="10.5" customHeight="1" x14ac:dyDescent="0.2">
      <c r="A63" s="273"/>
      <c r="B63" s="271"/>
      <c r="C63" s="271"/>
      <c r="D63" s="271"/>
      <c r="E63" s="271"/>
      <c r="F63" s="271"/>
      <c r="G63" s="271"/>
      <c r="H63" s="271"/>
      <c r="I63" s="271"/>
      <c r="J63" s="271"/>
      <c r="K63" s="271"/>
      <c r="L63" s="273"/>
      <c r="M63" s="271"/>
      <c r="N63" s="271"/>
      <c r="O63" s="271"/>
      <c r="P63" s="271"/>
      <c r="Q63" s="271"/>
      <c r="R63" s="271"/>
      <c r="S63" s="271"/>
      <c r="T63" s="271"/>
      <c r="U63" s="271"/>
      <c r="V63" s="271"/>
      <c r="W63" s="273"/>
      <c r="X63" s="271"/>
      <c r="Y63" s="271"/>
      <c r="Z63" s="271"/>
      <c r="AA63" s="271"/>
      <c r="AB63" s="271"/>
      <c r="AC63" s="271"/>
      <c r="AD63" s="271"/>
      <c r="AE63" s="271"/>
      <c r="AF63" s="271"/>
      <c r="AG63" s="271"/>
      <c r="AH63" s="273"/>
      <c r="AI63" s="271"/>
      <c r="AJ63" s="271"/>
      <c r="AK63" s="271"/>
      <c r="AL63" s="271"/>
      <c r="AM63" s="271"/>
      <c r="AN63" s="271"/>
      <c r="AO63" s="271"/>
      <c r="AP63" s="271"/>
      <c r="AQ63" s="271"/>
      <c r="AR63" s="271"/>
    </row>
    <row r="64" spans="1:44" ht="10.5" customHeight="1" x14ac:dyDescent="0.2">
      <c r="A64" s="278" t="str">
        <f>IF(A62="","",INDEX(計算シート!$E$2:$M$77,MATCH(A62,計算シート!$E$2:$E$77,0),9))</f>
        <v/>
      </c>
      <c r="B64" s="279"/>
      <c r="C64" s="279"/>
      <c r="D64" s="279"/>
      <c r="E64" s="279"/>
      <c r="F64" s="279"/>
      <c r="G64" s="279"/>
      <c r="H64" s="279"/>
      <c r="I64" s="279"/>
      <c r="J64" s="279"/>
      <c r="K64" s="280"/>
      <c r="L64" s="278" t="str">
        <f>IF(L62="","",INDEX(計算シート!$E$2:$M$77,MATCH(L62,計算シート!$E$2:$E$77,0),9))</f>
        <v/>
      </c>
      <c r="M64" s="279"/>
      <c r="N64" s="279"/>
      <c r="O64" s="279"/>
      <c r="P64" s="279"/>
      <c r="Q64" s="279"/>
      <c r="R64" s="279"/>
      <c r="S64" s="279"/>
      <c r="T64" s="279"/>
      <c r="U64" s="279"/>
      <c r="V64" s="280"/>
      <c r="W64" s="278" t="str">
        <f>IF(W62="","",INDEX(計算シート!$E$2:$M$77,MATCH(W62,計算シート!$E$2:$E$77,0),9))</f>
        <v/>
      </c>
      <c r="X64" s="279"/>
      <c r="Y64" s="279"/>
      <c r="Z64" s="279"/>
      <c r="AA64" s="279"/>
      <c r="AB64" s="279"/>
      <c r="AC64" s="279"/>
      <c r="AD64" s="279"/>
      <c r="AE64" s="279"/>
      <c r="AF64" s="279"/>
      <c r="AG64" s="280"/>
      <c r="AH64" s="278" t="str">
        <f>IF(AH62="","",INDEX(計算シート!$E$2:$M$77,MATCH(AH62,計算シート!$E$2:$E$77,0),9))</f>
        <v/>
      </c>
      <c r="AI64" s="279"/>
      <c r="AJ64" s="279"/>
      <c r="AK64" s="279"/>
      <c r="AL64" s="279"/>
      <c r="AM64" s="279"/>
      <c r="AN64" s="279"/>
      <c r="AO64" s="279"/>
      <c r="AP64" s="279"/>
      <c r="AQ64" s="279"/>
      <c r="AR64" s="280"/>
    </row>
    <row r="65" spans="1:44" ht="10.5" customHeight="1" x14ac:dyDescent="0.2">
      <c r="A65" s="281"/>
      <c r="B65" s="282"/>
      <c r="C65" s="282"/>
      <c r="D65" s="282"/>
      <c r="E65" s="282"/>
      <c r="F65" s="282"/>
      <c r="G65" s="282"/>
      <c r="H65" s="282"/>
      <c r="I65" s="282"/>
      <c r="J65" s="282"/>
      <c r="K65" s="283"/>
      <c r="L65" s="281"/>
      <c r="M65" s="282"/>
      <c r="N65" s="282"/>
      <c r="O65" s="282"/>
      <c r="P65" s="282"/>
      <c r="Q65" s="282"/>
      <c r="R65" s="282"/>
      <c r="S65" s="282"/>
      <c r="T65" s="282"/>
      <c r="U65" s="282"/>
      <c r="V65" s="283"/>
      <c r="W65" s="281"/>
      <c r="X65" s="282"/>
      <c r="Y65" s="282"/>
      <c r="Z65" s="282"/>
      <c r="AA65" s="282"/>
      <c r="AB65" s="282"/>
      <c r="AC65" s="282"/>
      <c r="AD65" s="282"/>
      <c r="AE65" s="282"/>
      <c r="AF65" s="282"/>
      <c r="AG65" s="283"/>
      <c r="AH65" s="281"/>
      <c r="AI65" s="282"/>
      <c r="AJ65" s="282"/>
      <c r="AK65" s="282"/>
      <c r="AL65" s="282"/>
      <c r="AM65" s="282"/>
      <c r="AN65" s="282"/>
      <c r="AO65" s="282"/>
      <c r="AP65" s="282"/>
      <c r="AQ65" s="282"/>
      <c r="AR65" s="283"/>
    </row>
    <row r="66" spans="1:44" ht="10.5" customHeight="1" x14ac:dyDescent="0.2">
      <c r="A66" s="281"/>
      <c r="B66" s="282"/>
      <c r="C66" s="282"/>
      <c r="D66" s="282"/>
      <c r="E66" s="282"/>
      <c r="F66" s="282"/>
      <c r="G66" s="282"/>
      <c r="H66" s="282"/>
      <c r="I66" s="282"/>
      <c r="J66" s="282"/>
      <c r="K66" s="283"/>
      <c r="L66" s="281"/>
      <c r="M66" s="282"/>
      <c r="N66" s="282"/>
      <c r="O66" s="282"/>
      <c r="P66" s="282"/>
      <c r="Q66" s="282"/>
      <c r="R66" s="282"/>
      <c r="S66" s="282"/>
      <c r="T66" s="282"/>
      <c r="U66" s="282"/>
      <c r="V66" s="283"/>
      <c r="W66" s="281"/>
      <c r="X66" s="282"/>
      <c r="Y66" s="282"/>
      <c r="Z66" s="282"/>
      <c r="AA66" s="282"/>
      <c r="AB66" s="282"/>
      <c r="AC66" s="282"/>
      <c r="AD66" s="282"/>
      <c r="AE66" s="282"/>
      <c r="AF66" s="282"/>
      <c r="AG66" s="283"/>
      <c r="AH66" s="281"/>
      <c r="AI66" s="282"/>
      <c r="AJ66" s="282"/>
      <c r="AK66" s="282"/>
      <c r="AL66" s="282"/>
      <c r="AM66" s="282"/>
      <c r="AN66" s="282"/>
      <c r="AO66" s="282"/>
      <c r="AP66" s="282"/>
      <c r="AQ66" s="282"/>
      <c r="AR66" s="283"/>
    </row>
    <row r="67" spans="1:44" ht="10.5" customHeight="1" x14ac:dyDescent="0.2">
      <c r="A67" s="281"/>
      <c r="B67" s="282"/>
      <c r="C67" s="282"/>
      <c r="D67" s="282"/>
      <c r="E67" s="282"/>
      <c r="F67" s="282"/>
      <c r="G67" s="282"/>
      <c r="H67" s="282"/>
      <c r="I67" s="282"/>
      <c r="J67" s="282"/>
      <c r="K67" s="283"/>
      <c r="L67" s="281"/>
      <c r="M67" s="282"/>
      <c r="N67" s="282"/>
      <c r="O67" s="282"/>
      <c r="P67" s="282"/>
      <c r="Q67" s="282"/>
      <c r="R67" s="282"/>
      <c r="S67" s="282"/>
      <c r="T67" s="282"/>
      <c r="U67" s="282"/>
      <c r="V67" s="283"/>
      <c r="W67" s="281"/>
      <c r="X67" s="282"/>
      <c r="Y67" s="282"/>
      <c r="Z67" s="282"/>
      <c r="AA67" s="282"/>
      <c r="AB67" s="282"/>
      <c r="AC67" s="282"/>
      <c r="AD67" s="282"/>
      <c r="AE67" s="282"/>
      <c r="AF67" s="282"/>
      <c r="AG67" s="283"/>
      <c r="AH67" s="281"/>
      <c r="AI67" s="282"/>
      <c r="AJ67" s="282"/>
      <c r="AK67" s="282"/>
      <c r="AL67" s="282"/>
      <c r="AM67" s="282"/>
      <c r="AN67" s="282"/>
      <c r="AO67" s="282"/>
      <c r="AP67" s="282"/>
      <c r="AQ67" s="282"/>
      <c r="AR67" s="283"/>
    </row>
    <row r="68" spans="1:44" ht="10.5" customHeight="1" x14ac:dyDescent="0.2">
      <c r="A68" s="284"/>
      <c r="B68" s="285"/>
      <c r="C68" s="285"/>
      <c r="D68" s="285"/>
      <c r="E68" s="285"/>
      <c r="F68" s="285"/>
      <c r="G68" s="285"/>
      <c r="H68" s="285"/>
      <c r="I68" s="285"/>
      <c r="J68" s="285"/>
      <c r="K68" s="286"/>
      <c r="L68" s="284"/>
      <c r="M68" s="285"/>
      <c r="N68" s="285"/>
      <c r="O68" s="285"/>
      <c r="P68" s="285"/>
      <c r="Q68" s="285"/>
      <c r="R68" s="285"/>
      <c r="S68" s="285"/>
      <c r="T68" s="285"/>
      <c r="U68" s="285"/>
      <c r="V68" s="286"/>
      <c r="W68" s="284"/>
      <c r="X68" s="285"/>
      <c r="Y68" s="285"/>
      <c r="Z68" s="285"/>
      <c r="AA68" s="285"/>
      <c r="AB68" s="285"/>
      <c r="AC68" s="285"/>
      <c r="AD68" s="285"/>
      <c r="AE68" s="285"/>
      <c r="AF68" s="285"/>
      <c r="AG68" s="286"/>
      <c r="AH68" s="284"/>
      <c r="AI68" s="285"/>
      <c r="AJ68" s="285"/>
      <c r="AK68" s="285"/>
      <c r="AL68" s="285"/>
      <c r="AM68" s="285"/>
      <c r="AN68" s="285"/>
      <c r="AO68" s="285"/>
      <c r="AP68" s="285"/>
      <c r="AQ68" s="285"/>
      <c r="AR68" s="286"/>
    </row>
    <row r="69" spans="1:44" ht="10.5" customHeight="1" x14ac:dyDescent="0.2">
      <c r="A69" s="272" t="str">
        <f>IF(計算シート!$M$78&gt;=10,10,"")</f>
        <v/>
      </c>
      <c r="B69" s="269" t="str">
        <f>IF(A69="","",INDEX(計算シート!$E$2:$M$77,MATCH(A69,計算シート!$E$2:$E$77,0),2))</f>
        <v/>
      </c>
      <c r="C69" s="270"/>
      <c r="D69" s="270"/>
      <c r="E69" s="269" t="str">
        <f>IF(A69="","",INDEX(計算シート!$E$2:$M$77,MATCH(A69,計算シート!$E$2:$E$77,0),3))</f>
        <v/>
      </c>
      <c r="F69" s="270"/>
      <c r="G69" s="270"/>
      <c r="H69" s="270"/>
      <c r="I69" s="270"/>
      <c r="J69" s="270"/>
      <c r="K69" s="270"/>
      <c r="L69" s="272" t="str">
        <f>IF(計算シート!$M$78&gt;=22,22,"")</f>
        <v/>
      </c>
      <c r="M69" s="269" t="str">
        <f>IF(L69="","",INDEX(計算シート!$E$2:$M$77,MATCH(L69,計算シート!$E$2:$E$77,0),2))</f>
        <v/>
      </c>
      <c r="N69" s="270"/>
      <c r="O69" s="270"/>
      <c r="P69" s="269" t="str">
        <f>IF(L69="","",INDEX(計算シート!$E$2:$M$77,MATCH(L69,計算シート!$E$2:$E$77,0),3))</f>
        <v/>
      </c>
      <c r="Q69" s="270"/>
      <c r="R69" s="270"/>
      <c r="S69" s="270"/>
      <c r="T69" s="270"/>
      <c r="U69" s="270"/>
      <c r="V69" s="270"/>
      <c r="W69" s="272" t="str">
        <f>IF(計算シート!$M$78&gt;=34,34,"")</f>
        <v/>
      </c>
      <c r="X69" s="269" t="str">
        <f>IF(W69="","",INDEX(計算シート!$E$2:$M$77,MATCH(W69,計算シート!$E$2:$E$77,0),2))</f>
        <v/>
      </c>
      <c r="Y69" s="270"/>
      <c r="Z69" s="270"/>
      <c r="AA69" s="269" t="str">
        <f>IF(W69="","",INDEX(計算シート!$E$2:$M$77,MATCH(W69,計算シート!$E$2:$E$77,0),3))</f>
        <v/>
      </c>
      <c r="AB69" s="270"/>
      <c r="AC69" s="270"/>
      <c r="AD69" s="270"/>
      <c r="AE69" s="270"/>
      <c r="AF69" s="270"/>
      <c r="AG69" s="270"/>
      <c r="AH69" s="272" t="str">
        <f>IF(計算シート!$M$78&gt;=46,46,"")</f>
        <v/>
      </c>
      <c r="AI69" s="269" t="str">
        <f>IF(AH69="","",INDEX(計算シート!$E$2:$M$77,MATCH(AH69,計算シート!$E$2:$E$77,0),2))</f>
        <v/>
      </c>
      <c r="AJ69" s="270"/>
      <c r="AK69" s="270"/>
      <c r="AL69" s="269" t="str">
        <f>IF(AH69="","",INDEX(計算シート!$E$2:$M$77,MATCH(AH69,計算シート!$E$2:$E$77,0),3))</f>
        <v/>
      </c>
      <c r="AM69" s="270"/>
      <c r="AN69" s="270"/>
      <c r="AO69" s="270"/>
      <c r="AP69" s="270"/>
      <c r="AQ69" s="270"/>
      <c r="AR69" s="270"/>
    </row>
    <row r="70" spans="1:44" ht="10.5" customHeight="1" x14ac:dyDescent="0.2">
      <c r="A70" s="273"/>
      <c r="B70" s="271"/>
      <c r="C70" s="271"/>
      <c r="D70" s="271"/>
      <c r="E70" s="271"/>
      <c r="F70" s="271"/>
      <c r="G70" s="271"/>
      <c r="H70" s="271"/>
      <c r="I70" s="271"/>
      <c r="J70" s="271"/>
      <c r="K70" s="271"/>
      <c r="L70" s="273"/>
      <c r="M70" s="271"/>
      <c r="N70" s="271"/>
      <c r="O70" s="271"/>
      <c r="P70" s="271"/>
      <c r="Q70" s="271"/>
      <c r="R70" s="271"/>
      <c r="S70" s="271"/>
      <c r="T70" s="271"/>
      <c r="U70" s="271"/>
      <c r="V70" s="271"/>
      <c r="W70" s="273"/>
      <c r="X70" s="271"/>
      <c r="Y70" s="271"/>
      <c r="Z70" s="271"/>
      <c r="AA70" s="271"/>
      <c r="AB70" s="271"/>
      <c r="AC70" s="271"/>
      <c r="AD70" s="271"/>
      <c r="AE70" s="271"/>
      <c r="AF70" s="271"/>
      <c r="AG70" s="271"/>
      <c r="AH70" s="273"/>
      <c r="AI70" s="271"/>
      <c r="AJ70" s="271"/>
      <c r="AK70" s="271"/>
      <c r="AL70" s="271"/>
      <c r="AM70" s="271"/>
      <c r="AN70" s="271"/>
      <c r="AO70" s="271"/>
      <c r="AP70" s="271"/>
      <c r="AQ70" s="271"/>
      <c r="AR70" s="271"/>
    </row>
    <row r="71" spans="1:44" ht="10.5" customHeight="1" x14ac:dyDescent="0.2">
      <c r="A71" s="278" t="str">
        <f>IF(A69="","",INDEX(計算シート!$E$2:$M$77,MATCH(A69,計算シート!$E$2:$E$77,0),9))</f>
        <v/>
      </c>
      <c r="B71" s="279"/>
      <c r="C71" s="279"/>
      <c r="D71" s="279"/>
      <c r="E71" s="279"/>
      <c r="F71" s="279"/>
      <c r="G71" s="279"/>
      <c r="H71" s="279"/>
      <c r="I71" s="279"/>
      <c r="J71" s="279"/>
      <c r="K71" s="280"/>
      <c r="L71" s="278" t="str">
        <f>IF(L69="","",INDEX(計算シート!$E$2:$M$77,MATCH(L69,計算シート!$E$2:$E$77,0),9))</f>
        <v/>
      </c>
      <c r="M71" s="279"/>
      <c r="N71" s="279"/>
      <c r="O71" s="279"/>
      <c r="P71" s="279"/>
      <c r="Q71" s="279"/>
      <c r="R71" s="279"/>
      <c r="S71" s="279"/>
      <c r="T71" s="279"/>
      <c r="U71" s="279"/>
      <c r="V71" s="280"/>
      <c r="W71" s="278" t="str">
        <f>IF(W69="","",INDEX(計算シート!$E$2:$M$77,MATCH(W69,計算シート!$E$2:$E$77,0),9))</f>
        <v/>
      </c>
      <c r="X71" s="279"/>
      <c r="Y71" s="279"/>
      <c r="Z71" s="279"/>
      <c r="AA71" s="279"/>
      <c r="AB71" s="279"/>
      <c r="AC71" s="279"/>
      <c r="AD71" s="279"/>
      <c r="AE71" s="279"/>
      <c r="AF71" s="279"/>
      <c r="AG71" s="280"/>
      <c r="AH71" s="278" t="str">
        <f>IF(AH69="","",INDEX(計算シート!$E$2:$M$77,MATCH(AH69,計算シート!$E$2:$E$77,0),9))</f>
        <v/>
      </c>
      <c r="AI71" s="279"/>
      <c r="AJ71" s="279"/>
      <c r="AK71" s="279"/>
      <c r="AL71" s="279"/>
      <c r="AM71" s="279"/>
      <c r="AN71" s="279"/>
      <c r="AO71" s="279"/>
      <c r="AP71" s="279"/>
      <c r="AQ71" s="279"/>
      <c r="AR71" s="280"/>
    </row>
    <row r="72" spans="1:44" ht="10.5" customHeight="1" x14ac:dyDescent="0.2">
      <c r="A72" s="281"/>
      <c r="B72" s="282"/>
      <c r="C72" s="282"/>
      <c r="D72" s="282"/>
      <c r="E72" s="282"/>
      <c r="F72" s="282"/>
      <c r="G72" s="282"/>
      <c r="H72" s="282"/>
      <c r="I72" s="282"/>
      <c r="J72" s="282"/>
      <c r="K72" s="283"/>
      <c r="L72" s="281"/>
      <c r="M72" s="282"/>
      <c r="N72" s="282"/>
      <c r="O72" s="282"/>
      <c r="P72" s="282"/>
      <c r="Q72" s="282"/>
      <c r="R72" s="282"/>
      <c r="S72" s="282"/>
      <c r="T72" s="282"/>
      <c r="U72" s="282"/>
      <c r="V72" s="283"/>
      <c r="W72" s="281"/>
      <c r="X72" s="282"/>
      <c r="Y72" s="282"/>
      <c r="Z72" s="282"/>
      <c r="AA72" s="282"/>
      <c r="AB72" s="282"/>
      <c r="AC72" s="282"/>
      <c r="AD72" s="282"/>
      <c r="AE72" s="282"/>
      <c r="AF72" s="282"/>
      <c r="AG72" s="283"/>
      <c r="AH72" s="281"/>
      <c r="AI72" s="282"/>
      <c r="AJ72" s="282"/>
      <c r="AK72" s="282"/>
      <c r="AL72" s="282"/>
      <c r="AM72" s="282"/>
      <c r="AN72" s="282"/>
      <c r="AO72" s="282"/>
      <c r="AP72" s="282"/>
      <c r="AQ72" s="282"/>
      <c r="AR72" s="283"/>
    </row>
    <row r="73" spans="1:44" ht="10.5" customHeight="1" x14ac:dyDescent="0.2">
      <c r="A73" s="281"/>
      <c r="B73" s="282"/>
      <c r="C73" s="282"/>
      <c r="D73" s="282"/>
      <c r="E73" s="282"/>
      <c r="F73" s="282"/>
      <c r="G73" s="282"/>
      <c r="H73" s="282"/>
      <c r="I73" s="282"/>
      <c r="J73" s="282"/>
      <c r="K73" s="283"/>
      <c r="L73" s="281"/>
      <c r="M73" s="282"/>
      <c r="N73" s="282"/>
      <c r="O73" s="282"/>
      <c r="P73" s="282"/>
      <c r="Q73" s="282"/>
      <c r="R73" s="282"/>
      <c r="S73" s="282"/>
      <c r="T73" s="282"/>
      <c r="U73" s="282"/>
      <c r="V73" s="283"/>
      <c r="W73" s="281"/>
      <c r="X73" s="282"/>
      <c r="Y73" s="282"/>
      <c r="Z73" s="282"/>
      <c r="AA73" s="282"/>
      <c r="AB73" s="282"/>
      <c r="AC73" s="282"/>
      <c r="AD73" s="282"/>
      <c r="AE73" s="282"/>
      <c r="AF73" s="282"/>
      <c r="AG73" s="283"/>
      <c r="AH73" s="281"/>
      <c r="AI73" s="282"/>
      <c r="AJ73" s="282"/>
      <c r="AK73" s="282"/>
      <c r="AL73" s="282"/>
      <c r="AM73" s="282"/>
      <c r="AN73" s="282"/>
      <c r="AO73" s="282"/>
      <c r="AP73" s="282"/>
      <c r="AQ73" s="282"/>
      <c r="AR73" s="283"/>
    </row>
    <row r="74" spans="1:44" ht="10.5" customHeight="1" x14ac:dyDescent="0.2">
      <c r="A74" s="281"/>
      <c r="B74" s="282"/>
      <c r="C74" s="282"/>
      <c r="D74" s="282"/>
      <c r="E74" s="282"/>
      <c r="F74" s="282"/>
      <c r="G74" s="282"/>
      <c r="H74" s="282"/>
      <c r="I74" s="282"/>
      <c r="J74" s="282"/>
      <c r="K74" s="283"/>
      <c r="L74" s="281"/>
      <c r="M74" s="282"/>
      <c r="N74" s="282"/>
      <c r="O74" s="282"/>
      <c r="P74" s="282"/>
      <c r="Q74" s="282"/>
      <c r="R74" s="282"/>
      <c r="S74" s="282"/>
      <c r="T74" s="282"/>
      <c r="U74" s="282"/>
      <c r="V74" s="283"/>
      <c r="W74" s="281"/>
      <c r="X74" s="282"/>
      <c r="Y74" s="282"/>
      <c r="Z74" s="282"/>
      <c r="AA74" s="282"/>
      <c r="AB74" s="282"/>
      <c r="AC74" s="282"/>
      <c r="AD74" s="282"/>
      <c r="AE74" s="282"/>
      <c r="AF74" s="282"/>
      <c r="AG74" s="283"/>
      <c r="AH74" s="281"/>
      <c r="AI74" s="282"/>
      <c r="AJ74" s="282"/>
      <c r="AK74" s="282"/>
      <c r="AL74" s="282"/>
      <c r="AM74" s="282"/>
      <c r="AN74" s="282"/>
      <c r="AO74" s="282"/>
      <c r="AP74" s="282"/>
      <c r="AQ74" s="282"/>
      <c r="AR74" s="283"/>
    </row>
    <row r="75" spans="1:44" ht="10.5" customHeight="1" x14ac:dyDescent="0.2">
      <c r="A75" s="284"/>
      <c r="B75" s="285"/>
      <c r="C75" s="285"/>
      <c r="D75" s="285"/>
      <c r="E75" s="285"/>
      <c r="F75" s="285"/>
      <c r="G75" s="285"/>
      <c r="H75" s="285"/>
      <c r="I75" s="285"/>
      <c r="J75" s="285"/>
      <c r="K75" s="286"/>
      <c r="L75" s="284"/>
      <c r="M75" s="285"/>
      <c r="N75" s="285"/>
      <c r="O75" s="285"/>
      <c r="P75" s="285"/>
      <c r="Q75" s="285"/>
      <c r="R75" s="285"/>
      <c r="S75" s="285"/>
      <c r="T75" s="285"/>
      <c r="U75" s="285"/>
      <c r="V75" s="286"/>
      <c r="W75" s="284"/>
      <c r="X75" s="285"/>
      <c r="Y75" s="285"/>
      <c r="Z75" s="285"/>
      <c r="AA75" s="285"/>
      <c r="AB75" s="285"/>
      <c r="AC75" s="285"/>
      <c r="AD75" s="285"/>
      <c r="AE75" s="285"/>
      <c r="AF75" s="285"/>
      <c r="AG75" s="286"/>
      <c r="AH75" s="284"/>
      <c r="AI75" s="285"/>
      <c r="AJ75" s="285"/>
      <c r="AK75" s="285"/>
      <c r="AL75" s="285"/>
      <c r="AM75" s="285"/>
      <c r="AN75" s="285"/>
      <c r="AO75" s="285"/>
      <c r="AP75" s="285"/>
      <c r="AQ75" s="285"/>
      <c r="AR75" s="286"/>
    </row>
    <row r="76" spans="1:44" ht="10.5" customHeight="1" x14ac:dyDescent="0.2">
      <c r="A76" s="272" t="str">
        <f>IF(計算シート!$M$78&gt;=11,11,"")</f>
        <v/>
      </c>
      <c r="B76" s="269" t="str">
        <f>IF(A76="","",INDEX(計算シート!$E$2:$M$77,MATCH(A76,計算シート!$E$2:$E$77,0),2))</f>
        <v/>
      </c>
      <c r="C76" s="270"/>
      <c r="D76" s="270"/>
      <c r="E76" s="269" t="str">
        <f>IF(A76="","",INDEX(計算シート!$E$2:$M$77,MATCH(A76,計算シート!$E$2:$E$77,0),3))</f>
        <v/>
      </c>
      <c r="F76" s="270"/>
      <c r="G76" s="270"/>
      <c r="H76" s="270"/>
      <c r="I76" s="270"/>
      <c r="J76" s="270"/>
      <c r="K76" s="270"/>
      <c r="L76" s="272" t="str">
        <f>IF(計算シート!$M$78&gt;=23,23,"")</f>
        <v/>
      </c>
      <c r="M76" s="269" t="str">
        <f>IF(L76="","",INDEX(計算シート!$E$2:$M$77,MATCH(L76,計算シート!$E$2:$E$77,0),2))</f>
        <v/>
      </c>
      <c r="N76" s="270"/>
      <c r="O76" s="270"/>
      <c r="P76" s="269" t="str">
        <f>IF(L76="","",INDEX(計算シート!$E$2:$M$77,MATCH(L76,計算シート!$E$2:$E$77,0),3))</f>
        <v/>
      </c>
      <c r="Q76" s="270"/>
      <c r="R76" s="270"/>
      <c r="S76" s="270"/>
      <c r="T76" s="270"/>
      <c r="U76" s="270"/>
      <c r="V76" s="270"/>
      <c r="W76" s="272" t="str">
        <f>IF(計算シート!$M$78&gt;=35,35,"")</f>
        <v/>
      </c>
      <c r="X76" s="269" t="str">
        <f>IF(W76="","",INDEX(計算シート!$E$2:$M$77,MATCH(W76,計算シート!$E$2:$E$77,0),2))</f>
        <v/>
      </c>
      <c r="Y76" s="270"/>
      <c r="Z76" s="270"/>
      <c r="AA76" s="269" t="str">
        <f>IF(W76="","",INDEX(計算シート!$E$2:$M$77,MATCH(W76,計算シート!$E$2:$E$77,0),3))</f>
        <v/>
      </c>
      <c r="AB76" s="270"/>
      <c r="AC76" s="270"/>
      <c r="AD76" s="270"/>
      <c r="AE76" s="270"/>
      <c r="AF76" s="270"/>
      <c r="AG76" s="270"/>
      <c r="AH76" s="272" t="str">
        <f>IF(計算シート!$M$78&gt;=47,47,"")</f>
        <v/>
      </c>
      <c r="AI76" s="269" t="str">
        <f>IF(AH76="","",INDEX(計算シート!$E$2:$M$77,MATCH(AH76,計算シート!$E$2:$E$77,0),2))</f>
        <v/>
      </c>
      <c r="AJ76" s="270"/>
      <c r="AK76" s="270"/>
      <c r="AL76" s="269" t="str">
        <f>IF(AH76="","",INDEX(計算シート!$E$2:$M$77,MATCH(AH76,計算シート!$E$2:$E$77,0),3))</f>
        <v/>
      </c>
      <c r="AM76" s="270"/>
      <c r="AN76" s="270"/>
      <c r="AO76" s="270"/>
      <c r="AP76" s="270"/>
      <c r="AQ76" s="270"/>
      <c r="AR76" s="270"/>
    </row>
    <row r="77" spans="1:44" ht="10.5" customHeight="1" x14ac:dyDescent="0.2">
      <c r="A77" s="273"/>
      <c r="B77" s="271"/>
      <c r="C77" s="271"/>
      <c r="D77" s="271"/>
      <c r="E77" s="271"/>
      <c r="F77" s="271"/>
      <c r="G77" s="271"/>
      <c r="H77" s="271"/>
      <c r="I77" s="271"/>
      <c r="J77" s="271"/>
      <c r="K77" s="271"/>
      <c r="L77" s="273"/>
      <c r="M77" s="271"/>
      <c r="N77" s="271"/>
      <c r="O77" s="271"/>
      <c r="P77" s="271"/>
      <c r="Q77" s="271"/>
      <c r="R77" s="271"/>
      <c r="S77" s="271"/>
      <c r="T77" s="271"/>
      <c r="U77" s="271"/>
      <c r="V77" s="271"/>
      <c r="W77" s="273"/>
      <c r="X77" s="271"/>
      <c r="Y77" s="271"/>
      <c r="Z77" s="271"/>
      <c r="AA77" s="271"/>
      <c r="AB77" s="271"/>
      <c r="AC77" s="271"/>
      <c r="AD77" s="271"/>
      <c r="AE77" s="271"/>
      <c r="AF77" s="271"/>
      <c r="AG77" s="271"/>
      <c r="AH77" s="273"/>
      <c r="AI77" s="271"/>
      <c r="AJ77" s="271"/>
      <c r="AK77" s="271"/>
      <c r="AL77" s="271"/>
      <c r="AM77" s="271"/>
      <c r="AN77" s="271"/>
      <c r="AO77" s="271"/>
      <c r="AP77" s="271"/>
      <c r="AQ77" s="271"/>
      <c r="AR77" s="271"/>
    </row>
    <row r="78" spans="1:44" ht="10.5" customHeight="1" x14ac:dyDescent="0.2">
      <c r="A78" s="278" t="str">
        <f>IF(A76="","",INDEX(計算シート!$E$2:$M$77,MATCH(A76,計算シート!$E$2:$E$77,0),9))</f>
        <v/>
      </c>
      <c r="B78" s="279"/>
      <c r="C78" s="279"/>
      <c r="D78" s="279"/>
      <c r="E78" s="279"/>
      <c r="F78" s="279"/>
      <c r="G78" s="279"/>
      <c r="H78" s="279"/>
      <c r="I78" s="279"/>
      <c r="J78" s="279"/>
      <c r="K78" s="280"/>
      <c r="L78" s="278" t="str">
        <f>IF(L76="","",INDEX(計算シート!$E$2:$M$77,MATCH(L76,計算シート!$E$2:$E$77,0),9))</f>
        <v/>
      </c>
      <c r="M78" s="279"/>
      <c r="N78" s="279"/>
      <c r="O78" s="279"/>
      <c r="P78" s="279"/>
      <c r="Q78" s="279"/>
      <c r="R78" s="279"/>
      <c r="S78" s="279"/>
      <c r="T78" s="279"/>
      <c r="U78" s="279"/>
      <c r="V78" s="280"/>
      <c r="W78" s="278" t="str">
        <f>IF(W76="","",INDEX(計算シート!$E$2:$M$77,MATCH(W76,計算シート!$E$2:$E$77,0),9))</f>
        <v/>
      </c>
      <c r="X78" s="279"/>
      <c r="Y78" s="279"/>
      <c r="Z78" s="279"/>
      <c r="AA78" s="279"/>
      <c r="AB78" s="279"/>
      <c r="AC78" s="279"/>
      <c r="AD78" s="279"/>
      <c r="AE78" s="279"/>
      <c r="AF78" s="279"/>
      <c r="AG78" s="280"/>
      <c r="AH78" s="278" t="str">
        <f>IF(AH76="","",INDEX(計算シート!$E$2:$M$77,MATCH(AH76,計算シート!$E$2:$E$77,0),9))</f>
        <v/>
      </c>
      <c r="AI78" s="279"/>
      <c r="AJ78" s="279"/>
      <c r="AK78" s="279"/>
      <c r="AL78" s="279"/>
      <c r="AM78" s="279"/>
      <c r="AN78" s="279"/>
      <c r="AO78" s="279"/>
      <c r="AP78" s="279"/>
      <c r="AQ78" s="279"/>
      <c r="AR78" s="280"/>
    </row>
    <row r="79" spans="1:44" ht="10.5" customHeight="1" x14ac:dyDescent="0.2">
      <c r="A79" s="281"/>
      <c r="B79" s="282"/>
      <c r="C79" s="282"/>
      <c r="D79" s="282"/>
      <c r="E79" s="282"/>
      <c r="F79" s="282"/>
      <c r="G79" s="282"/>
      <c r="H79" s="282"/>
      <c r="I79" s="282"/>
      <c r="J79" s="282"/>
      <c r="K79" s="283"/>
      <c r="L79" s="281"/>
      <c r="M79" s="282"/>
      <c r="N79" s="282"/>
      <c r="O79" s="282"/>
      <c r="P79" s="282"/>
      <c r="Q79" s="282"/>
      <c r="R79" s="282"/>
      <c r="S79" s="282"/>
      <c r="T79" s="282"/>
      <c r="U79" s="282"/>
      <c r="V79" s="283"/>
      <c r="W79" s="281"/>
      <c r="X79" s="282"/>
      <c r="Y79" s="282"/>
      <c r="Z79" s="282"/>
      <c r="AA79" s="282"/>
      <c r="AB79" s="282"/>
      <c r="AC79" s="282"/>
      <c r="AD79" s="282"/>
      <c r="AE79" s="282"/>
      <c r="AF79" s="282"/>
      <c r="AG79" s="283"/>
      <c r="AH79" s="281"/>
      <c r="AI79" s="282"/>
      <c r="AJ79" s="282"/>
      <c r="AK79" s="282"/>
      <c r="AL79" s="282"/>
      <c r="AM79" s="282"/>
      <c r="AN79" s="282"/>
      <c r="AO79" s="282"/>
      <c r="AP79" s="282"/>
      <c r="AQ79" s="282"/>
      <c r="AR79" s="283"/>
    </row>
    <row r="80" spans="1:44" ht="10.5" customHeight="1" x14ac:dyDescent="0.2">
      <c r="A80" s="281"/>
      <c r="B80" s="282"/>
      <c r="C80" s="282"/>
      <c r="D80" s="282"/>
      <c r="E80" s="282"/>
      <c r="F80" s="282"/>
      <c r="G80" s="282"/>
      <c r="H80" s="282"/>
      <c r="I80" s="282"/>
      <c r="J80" s="282"/>
      <c r="K80" s="283"/>
      <c r="L80" s="281"/>
      <c r="M80" s="282"/>
      <c r="N80" s="282"/>
      <c r="O80" s="282"/>
      <c r="P80" s="282"/>
      <c r="Q80" s="282"/>
      <c r="R80" s="282"/>
      <c r="S80" s="282"/>
      <c r="T80" s="282"/>
      <c r="U80" s="282"/>
      <c r="V80" s="283"/>
      <c r="W80" s="281"/>
      <c r="X80" s="282"/>
      <c r="Y80" s="282"/>
      <c r="Z80" s="282"/>
      <c r="AA80" s="282"/>
      <c r="AB80" s="282"/>
      <c r="AC80" s="282"/>
      <c r="AD80" s="282"/>
      <c r="AE80" s="282"/>
      <c r="AF80" s="282"/>
      <c r="AG80" s="283"/>
      <c r="AH80" s="281"/>
      <c r="AI80" s="282"/>
      <c r="AJ80" s="282"/>
      <c r="AK80" s="282"/>
      <c r="AL80" s="282"/>
      <c r="AM80" s="282"/>
      <c r="AN80" s="282"/>
      <c r="AO80" s="282"/>
      <c r="AP80" s="282"/>
      <c r="AQ80" s="282"/>
      <c r="AR80" s="283"/>
    </row>
    <row r="81" spans="1:44" ht="10.5" customHeight="1" x14ac:dyDescent="0.2">
      <c r="A81" s="281"/>
      <c r="B81" s="282"/>
      <c r="C81" s="282"/>
      <c r="D81" s="282"/>
      <c r="E81" s="282"/>
      <c r="F81" s="282"/>
      <c r="G81" s="282"/>
      <c r="H81" s="282"/>
      <c r="I81" s="282"/>
      <c r="J81" s="282"/>
      <c r="K81" s="283"/>
      <c r="L81" s="281"/>
      <c r="M81" s="282"/>
      <c r="N81" s="282"/>
      <c r="O81" s="282"/>
      <c r="P81" s="282"/>
      <c r="Q81" s="282"/>
      <c r="R81" s="282"/>
      <c r="S81" s="282"/>
      <c r="T81" s="282"/>
      <c r="U81" s="282"/>
      <c r="V81" s="283"/>
      <c r="W81" s="281"/>
      <c r="X81" s="282"/>
      <c r="Y81" s="282"/>
      <c r="Z81" s="282"/>
      <c r="AA81" s="282"/>
      <c r="AB81" s="282"/>
      <c r="AC81" s="282"/>
      <c r="AD81" s="282"/>
      <c r="AE81" s="282"/>
      <c r="AF81" s="282"/>
      <c r="AG81" s="283"/>
      <c r="AH81" s="281"/>
      <c r="AI81" s="282"/>
      <c r="AJ81" s="282"/>
      <c r="AK81" s="282"/>
      <c r="AL81" s="282"/>
      <c r="AM81" s="282"/>
      <c r="AN81" s="282"/>
      <c r="AO81" s="282"/>
      <c r="AP81" s="282"/>
      <c r="AQ81" s="282"/>
      <c r="AR81" s="283"/>
    </row>
    <row r="82" spans="1:44" ht="10.5" customHeight="1" x14ac:dyDescent="0.2">
      <c r="A82" s="284"/>
      <c r="B82" s="285"/>
      <c r="C82" s="285"/>
      <c r="D82" s="285"/>
      <c r="E82" s="285"/>
      <c r="F82" s="285"/>
      <c r="G82" s="285"/>
      <c r="H82" s="285"/>
      <c r="I82" s="285"/>
      <c r="J82" s="285"/>
      <c r="K82" s="286"/>
      <c r="L82" s="284"/>
      <c r="M82" s="285"/>
      <c r="N82" s="285"/>
      <c r="O82" s="285"/>
      <c r="P82" s="285"/>
      <c r="Q82" s="285"/>
      <c r="R82" s="285"/>
      <c r="S82" s="285"/>
      <c r="T82" s="285"/>
      <c r="U82" s="285"/>
      <c r="V82" s="286"/>
      <c r="W82" s="284"/>
      <c r="X82" s="285"/>
      <c r="Y82" s="285"/>
      <c r="Z82" s="285"/>
      <c r="AA82" s="285"/>
      <c r="AB82" s="285"/>
      <c r="AC82" s="285"/>
      <c r="AD82" s="285"/>
      <c r="AE82" s="285"/>
      <c r="AF82" s="285"/>
      <c r="AG82" s="286"/>
      <c r="AH82" s="284"/>
      <c r="AI82" s="285"/>
      <c r="AJ82" s="285"/>
      <c r="AK82" s="285"/>
      <c r="AL82" s="285"/>
      <c r="AM82" s="285"/>
      <c r="AN82" s="285"/>
      <c r="AO82" s="285"/>
      <c r="AP82" s="285"/>
      <c r="AQ82" s="285"/>
      <c r="AR82" s="286"/>
    </row>
    <row r="83" spans="1:44" ht="10.5" customHeight="1" x14ac:dyDescent="0.2">
      <c r="A83" s="272" t="str">
        <f>IF(計算シート!$M$78&gt;=12,12,"")</f>
        <v/>
      </c>
      <c r="B83" s="269" t="str">
        <f>IF(A83="","",INDEX(計算シート!$E$2:$M$77,MATCH(A83,計算シート!$E$2:$E$77,0),2))</f>
        <v/>
      </c>
      <c r="C83" s="270"/>
      <c r="D83" s="270"/>
      <c r="E83" s="269" t="str">
        <f>IF(A83="","",INDEX(計算シート!$E$2:$M$77,MATCH(A83,計算シート!$E$2:$E$77,0),3))</f>
        <v/>
      </c>
      <c r="F83" s="270"/>
      <c r="G83" s="270"/>
      <c r="H83" s="270"/>
      <c r="I83" s="270"/>
      <c r="J83" s="270"/>
      <c r="K83" s="270"/>
      <c r="L83" s="272" t="str">
        <f>IF(計算シート!$M$78&gt;=24,24,"")</f>
        <v/>
      </c>
      <c r="M83" s="269" t="str">
        <f>IF(L83="","",INDEX(計算シート!$E$2:$M$77,MATCH(L83,計算シート!$E$2:$E$77,0),2))</f>
        <v/>
      </c>
      <c r="N83" s="270"/>
      <c r="O83" s="270"/>
      <c r="P83" s="269" t="str">
        <f>IF(L83="","",INDEX(計算シート!$E$2:$M$77,MATCH(L83,計算シート!$E$2:$E$77,0),3))</f>
        <v/>
      </c>
      <c r="Q83" s="270"/>
      <c r="R83" s="270"/>
      <c r="S83" s="270"/>
      <c r="T83" s="270"/>
      <c r="U83" s="270"/>
      <c r="V83" s="270"/>
      <c r="W83" s="272" t="str">
        <f>IF(計算シート!$M$78&gt;=36,36,"")</f>
        <v/>
      </c>
      <c r="X83" s="269" t="str">
        <f>IF(W83="","",INDEX(計算シート!$E$2:$M$77,MATCH(W83,計算シート!$E$2:$E$77,0),2))</f>
        <v/>
      </c>
      <c r="Y83" s="270"/>
      <c r="Z83" s="270"/>
      <c r="AA83" s="269" t="str">
        <f>IF(W83="","",INDEX(計算シート!$E$2:$M$77,MATCH(W83,計算シート!$E$2:$E$77,0),3))</f>
        <v/>
      </c>
      <c r="AB83" s="270"/>
      <c r="AC83" s="270"/>
      <c r="AD83" s="270"/>
      <c r="AE83" s="270"/>
      <c r="AF83" s="270"/>
      <c r="AG83" s="270"/>
      <c r="AH83" s="272" t="str">
        <f>IF(計算シート!$M$78&gt;=48,48,"")</f>
        <v/>
      </c>
      <c r="AI83" s="269" t="str">
        <f>IF(AH83="","",INDEX(計算シート!$E$2:$M$77,MATCH(AH83,計算シート!$E$2:$E$77,0),2))</f>
        <v/>
      </c>
      <c r="AJ83" s="270"/>
      <c r="AK83" s="270"/>
      <c r="AL83" s="269" t="str">
        <f>IF(AH83="","",INDEX(計算シート!$E$2:$M$77,MATCH(AH83,計算シート!$E$2:$E$77,0),3))</f>
        <v/>
      </c>
      <c r="AM83" s="270"/>
      <c r="AN83" s="270"/>
      <c r="AO83" s="270"/>
      <c r="AP83" s="270"/>
      <c r="AQ83" s="270"/>
      <c r="AR83" s="270"/>
    </row>
    <row r="84" spans="1:44" ht="10.5" customHeight="1" x14ac:dyDescent="0.2">
      <c r="A84" s="273"/>
      <c r="B84" s="271"/>
      <c r="C84" s="271"/>
      <c r="D84" s="271"/>
      <c r="E84" s="271"/>
      <c r="F84" s="271"/>
      <c r="G84" s="271"/>
      <c r="H84" s="271"/>
      <c r="I84" s="271"/>
      <c r="J84" s="271"/>
      <c r="K84" s="271"/>
      <c r="L84" s="273"/>
      <c r="M84" s="271"/>
      <c r="N84" s="271"/>
      <c r="O84" s="271"/>
      <c r="P84" s="271"/>
      <c r="Q84" s="271"/>
      <c r="R84" s="271"/>
      <c r="S84" s="271"/>
      <c r="T84" s="271"/>
      <c r="U84" s="271"/>
      <c r="V84" s="271"/>
      <c r="W84" s="273"/>
      <c r="X84" s="271"/>
      <c r="Y84" s="271"/>
      <c r="Z84" s="271"/>
      <c r="AA84" s="271"/>
      <c r="AB84" s="271"/>
      <c r="AC84" s="271"/>
      <c r="AD84" s="271"/>
      <c r="AE84" s="271"/>
      <c r="AF84" s="271"/>
      <c r="AG84" s="271"/>
      <c r="AH84" s="273"/>
      <c r="AI84" s="271"/>
      <c r="AJ84" s="271"/>
      <c r="AK84" s="271"/>
      <c r="AL84" s="271"/>
      <c r="AM84" s="271"/>
      <c r="AN84" s="271"/>
      <c r="AO84" s="271"/>
      <c r="AP84" s="271"/>
      <c r="AQ84" s="271"/>
      <c r="AR84" s="271"/>
    </row>
    <row r="85" spans="1:44" ht="10.5" customHeight="1" x14ac:dyDescent="0.2">
      <c r="A85" s="288" t="str">
        <f>IF(A83="","",INDEX(計算シート!$E$2:$M$77,MATCH(A83,計算シート!$E$2:$E$77,0),9))</f>
        <v/>
      </c>
      <c r="B85" s="288"/>
      <c r="C85" s="288"/>
      <c r="D85" s="288"/>
      <c r="E85" s="288"/>
      <c r="F85" s="288"/>
      <c r="G85" s="288"/>
      <c r="H85" s="288"/>
      <c r="I85" s="288"/>
      <c r="J85" s="288"/>
      <c r="K85" s="288"/>
      <c r="L85" s="288" t="str">
        <f>IF(L83="","",INDEX(計算シート!$E$2:$M$77,MATCH(L83,計算シート!$E$2:$E$77,0),9))</f>
        <v/>
      </c>
      <c r="M85" s="288"/>
      <c r="N85" s="288"/>
      <c r="O85" s="288"/>
      <c r="P85" s="288"/>
      <c r="Q85" s="288"/>
      <c r="R85" s="288"/>
      <c r="S85" s="288"/>
      <c r="T85" s="288"/>
      <c r="U85" s="288"/>
      <c r="V85" s="288"/>
      <c r="W85" s="288" t="str">
        <f>IF(W83="","",INDEX(計算シート!$E$2:$M$77,MATCH(W83,計算シート!$E$2:$E$77,0),9))</f>
        <v/>
      </c>
      <c r="X85" s="288"/>
      <c r="Y85" s="288"/>
      <c r="Z85" s="288"/>
      <c r="AA85" s="288"/>
      <c r="AB85" s="288"/>
      <c r="AC85" s="288"/>
      <c r="AD85" s="288"/>
      <c r="AE85" s="288"/>
      <c r="AF85" s="288"/>
      <c r="AG85" s="288"/>
      <c r="AH85" s="288" t="str">
        <f>IF(AH83="","",INDEX(計算シート!$E$2:$M$77,MATCH(AH83,計算シート!$E$2:$E$77,0),9))</f>
        <v/>
      </c>
      <c r="AI85" s="288"/>
      <c r="AJ85" s="288"/>
      <c r="AK85" s="288"/>
      <c r="AL85" s="288"/>
      <c r="AM85" s="288"/>
      <c r="AN85" s="288"/>
      <c r="AO85" s="288"/>
      <c r="AP85" s="288"/>
      <c r="AQ85" s="288"/>
      <c r="AR85" s="288"/>
    </row>
    <row r="86" spans="1:44" ht="10.5" customHeight="1" x14ac:dyDescent="0.2">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row>
    <row r="87" spans="1:44" ht="10.5" customHeight="1" x14ac:dyDescent="0.2">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row>
    <row r="88" spans="1:44" ht="10.5" customHeight="1" x14ac:dyDescent="0.2">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row>
    <row r="89" spans="1:44" ht="10.5" customHeight="1" x14ac:dyDescent="0.2">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row>
    <row r="90" spans="1:44" ht="10.5" customHeight="1" x14ac:dyDescent="0.2">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row>
    <row r="92" spans="1:44" ht="10.5" customHeight="1" x14ac:dyDescent="0.2">
      <c r="A92" s="287" t="str">
        <f>IF(計算シート!$A$65&gt;=1,"1/"&amp;計算シート!$A$65&amp;"ページ","")</f>
        <v>1/1ページ</v>
      </c>
      <c r="B92" s="287"/>
      <c r="C92" s="287"/>
      <c r="D92" s="287"/>
      <c r="E92" s="287"/>
      <c r="F92" s="287"/>
      <c r="G92" s="287"/>
      <c r="H92" s="287"/>
      <c r="I92" s="287"/>
      <c r="J92" s="287"/>
      <c r="K92" s="287"/>
      <c r="L92" s="287" t="str">
        <f>IF(計算シート!$A$65&gt;=2,"2/"&amp;計算シート!$A$65&amp;"ページ","")</f>
        <v/>
      </c>
      <c r="M92" s="287"/>
      <c r="N92" s="287"/>
      <c r="O92" s="287"/>
      <c r="P92" s="287"/>
      <c r="Q92" s="287"/>
      <c r="R92" s="287"/>
      <c r="S92" s="287"/>
      <c r="T92" s="287"/>
      <c r="U92" s="287"/>
      <c r="V92" s="287"/>
      <c r="W92" s="287" t="str">
        <f>IF(計算シート!$A$65&gt;=3,"3/"&amp;計算シート!$A$65&amp;"ページ","")</f>
        <v/>
      </c>
      <c r="X92" s="287"/>
      <c r="Y92" s="287"/>
      <c r="Z92" s="287"/>
      <c r="AA92" s="287"/>
      <c r="AB92" s="287"/>
      <c r="AC92" s="287"/>
      <c r="AD92" s="287"/>
      <c r="AE92" s="287"/>
      <c r="AF92" s="287"/>
      <c r="AG92" s="287"/>
      <c r="AH92" s="287" t="str">
        <f>IF(計算シート!$A$65&gt;=4,"4/"&amp;計算シート!$A$65&amp;"ページ","")</f>
        <v/>
      </c>
      <c r="AI92" s="287"/>
      <c r="AJ92" s="287"/>
      <c r="AK92" s="287"/>
      <c r="AL92" s="287"/>
      <c r="AM92" s="287"/>
      <c r="AN92" s="287"/>
      <c r="AO92" s="287"/>
      <c r="AP92" s="287"/>
      <c r="AQ92" s="287"/>
      <c r="AR92" s="287"/>
    </row>
  </sheetData>
  <mergeCells count="220">
    <mergeCell ref="A92:K92"/>
    <mergeCell ref="L92:V92"/>
    <mergeCell ref="W92:AG92"/>
    <mergeCell ref="AH92:AR92"/>
    <mergeCell ref="A85:K89"/>
    <mergeCell ref="L85:V89"/>
    <mergeCell ref="W85:AG89"/>
    <mergeCell ref="AH85:AR89"/>
    <mergeCell ref="A78:K82"/>
    <mergeCell ref="L78:V82"/>
    <mergeCell ref="W78:AG82"/>
    <mergeCell ref="AH78:AR82"/>
    <mergeCell ref="W83:W84"/>
    <mergeCell ref="X83:Z84"/>
    <mergeCell ref="AA83:AG84"/>
    <mergeCell ref="AH83:AH84"/>
    <mergeCell ref="AI83:AK84"/>
    <mergeCell ref="AL83:AR84"/>
    <mergeCell ref="A83:A84"/>
    <mergeCell ref="B83:D84"/>
    <mergeCell ref="E83:K84"/>
    <mergeCell ref="L83:L84"/>
    <mergeCell ref="M83:O84"/>
    <mergeCell ref="P83:V84"/>
    <mergeCell ref="A71:K75"/>
    <mergeCell ref="L71:V75"/>
    <mergeCell ref="W71:AG75"/>
    <mergeCell ref="AH71:AR75"/>
    <mergeCell ref="W76:W77"/>
    <mergeCell ref="X76:Z77"/>
    <mergeCell ref="AA76:AG77"/>
    <mergeCell ref="AH76:AH77"/>
    <mergeCell ref="AI76:AK77"/>
    <mergeCell ref="AL76:AR77"/>
    <mergeCell ref="A76:A77"/>
    <mergeCell ref="B76:D77"/>
    <mergeCell ref="E76:K77"/>
    <mergeCell ref="L76:L77"/>
    <mergeCell ref="M76:O77"/>
    <mergeCell ref="P76:V77"/>
    <mergeCell ref="A64:K68"/>
    <mergeCell ref="L64:V68"/>
    <mergeCell ref="W64:AG68"/>
    <mergeCell ref="AH64:AR68"/>
    <mergeCell ref="W69:W70"/>
    <mergeCell ref="X69:Z70"/>
    <mergeCell ref="AA69:AG70"/>
    <mergeCell ref="AH69:AH70"/>
    <mergeCell ref="AI69:AK70"/>
    <mergeCell ref="AL69:AR70"/>
    <mergeCell ref="A69:A70"/>
    <mergeCell ref="B69:D70"/>
    <mergeCell ref="E69:K70"/>
    <mergeCell ref="L69:L70"/>
    <mergeCell ref="M69:O70"/>
    <mergeCell ref="P69:V70"/>
    <mergeCell ref="A57:K61"/>
    <mergeCell ref="L57:V61"/>
    <mergeCell ref="W57:AG61"/>
    <mergeCell ref="AH57:AR61"/>
    <mergeCell ref="W62:W63"/>
    <mergeCell ref="X62:Z63"/>
    <mergeCell ref="AA62:AG63"/>
    <mergeCell ref="AH62:AH63"/>
    <mergeCell ref="AI62:AK63"/>
    <mergeCell ref="AL62:AR63"/>
    <mergeCell ref="A62:A63"/>
    <mergeCell ref="B62:D63"/>
    <mergeCell ref="E62:K63"/>
    <mergeCell ref="L62:L63"/>
    <mergeCell ref="M62:O63"/>
    <mergeCell ref="P62:V63"/>
    <mergeCell ref="A50:K54"/>
    <mergeCell ref="L50:V54"/>
    <mergeCell ref="W50:AG54"/>
    <mergeCell ref="AH50:AR54"/>
    <mergeCell ref="W55:W56"/>
    <mergeCell ref="X55:Z56"/>
    <mergeCell ref="AA55:AG56"/>
    <mergeCell ref="AH55:AH56"/>
    <mergeCell ref="AI55:AK56"/>
    <mergeCell ref="AL55:AR56"/>
    <mergeCell ref="A55:A56"/>
    <mergeCell ref="B55:D56"/>
    <mergeCell ref="E55:K56"/>
    <mergeCell ref="L55:L56"/>
    <mergeCell ref="M55:O56"/>
    <mergeCell ref="P55:V56"/>
    <mergeCell ref="A43:K47"/>
    <mergeCell ref="L43:V47"/>
    <mergeCell ref="W43:AG47"/>
    <mergeCell ref="AH43:AR47"/>
    <mergeCell ref="W48:W49"/>
    <mergeCell ref="X48:Z49"/>
    <mergeCell ref="AA48:AG49"/>
    <mergeCell ref="AH48:AH49"/>
    <mergeCell ref="AI48:AK49"/>
    <mergeCell ref="AL48:AR49"/>
    <mergeCell ref="A48:A49"/>
    <mergeCell ref="B48:D49"/>
    <mergeCell ref="E48:K49"/>
    <mergeCell ref="L48:L49"/>
    <mergeCell ref="M48:O49"/>
    <mergeCell ref="P48:V49"/>
    <mergeCell ref="A36:K40"/>
    <mergeCell ref="L36:V40"/>
    <mergeCell ref="W36:AG40"/>
    <mergeCell ref="AH36:AR40"/>
    <mergeCell ref="W41:W42"/>
    <mergeCell ref="X41:Z42"/>
    <mergeCell ref="AA41:AG42"/>
    <mergeCell ref="AH41:AH42"/>
    <mergeCell ref="AI41:AK42"/>
    <mergeCell ref="AL41:AR42"/>
    <mergeCell ref="A41:A42"/>
    <mergeCell ref="B41:D42"/>
    <mergeCell ref="E41:K42"/>
    <mergeCell ref="L41:L42"/>
    <mergeCell ref="M41:O42"/>
    <mergeCell ref="P41:V42"/>
    <mergeCell ref="A29:K33"/>
    <mergeCell ref="L29:V33"/>
    <mergeCell ref="W29:AG33"/>
    <mergeCell ref="AH29:AR33"/>
    <mergeCell ref="W34:W35"/>
    <mergeCell ref="X34:Z35"/>
    <mergeCell ref="AA34:AG35"/>
    <mergeCell ref="AH34:AH35"/>
    <mergeCell ref="AI34:AK35"/>
    <mergeCell ref="AL34:AR35"/>
    <mergeCell ref="A34:A35"/>
    <mergeCell ref="B34:D35"/>
    <mergeCell ref="E34:K35"/>
    <mergeCell ref="L34:L35"/>
    <mergeCell ref="M34:O35"/>
    <mergeCell ref="P34:V35"/>
    <mergeCell ref="A22:K26"/>
    <mergeCell ref="L22:V26"/>
    <mergeCell ref="W22:AG26"/>
    <mergeCell ref="AH22:AR26"/>
    <mergeCell ref="W27:W28"/>
    <mergeCell ref="X27:Z28"/>
    <mergeCell ref="AA27:AG28"/>
    <mergeCell ref="AH27:AH28"/>
    <mergeCell ref="AI27:AK28"/>
    <mergeCell ref="AL27:AR28"/>
    <mergeCell ref="A27:A28"/>
    <mergeCell ref="B27:D28"/>
    <mergeCell ref="E27:K28"/>
    <mergeCell ref="L27:L28"/>
    <mergeCell ref="M27:O28"/>
    <mergeCell ref="P27:V28"/>
    <mergeCell ref="A15:K19"/>
    <mergeCell ref="L15:V19"/>
    <mergeCell ref="W15:AG19"/>
    <mergeCell ref="AH15:AR19"/>
    <mergeCell ref="W20:W21"/>
    <mergeCell ref="X20:Z21"/>
    <mergeCell ref="AA20:AG21"/>
    <mergeCell ref="AH20:AH21"/>
    <mergeCell ref="AI20:AK21"/>
    <mergeCell ref="AL20:AR21"/>
    <mergeCell ref="A20:A21"/>
    <mergeCell ref="B20:D21"/>
    <mergeCell ref="E20:K21"/>
    <mergeCell ref="L20:L21"/>
    <mergeCell ref="M20:O21"/>
    <mergeCell ref="P20:V21"/>
    <mergeCell ref="A8:K12"/>
    <mergeCell ref="L8:V12"/>
    <mergeCell ref="W8:AG12"/>
    <mergeCell ref="AH8:AR12"/>
    <mergeCell ref="A13:A14"/>
    <mergeCell ref="B13:D14"/>
    <mergeCell ref="E13:K14"/>
    <mergeCell ref="L13:L14"/>
    <mergeCell ref="M13:O14"/>
    <mergeCell ref="P13:V14"/>
    <mergeCell ref="W13:W14"/>
    <mergeCell ref="X13:Z14"/>
    <mergeCell ref="AA13:AG14"/>
    <mergeCell ref="AH13:AH14"/>
    <mergeCell ref="AI13:AK14"/>
    <mergeCell ref="AL13:AR14"/>
    <mergeCell ref="A6:A7"/>
    <mergeCell ref="B6:D7"/>
    <mergeCell ref="E6:K7"/>
    <mergeCell ref="L6:L7"/>
    <mergeCell ref="M6:O7"/>
    <mergeCell ref="P6:V7"/>
    <mergeCell ref="W6:W7"/>
    <mergeCell ref="X6:Z7"/>
    <mergeCell ref="B5:D5"/>
    <mergeCell ref="E5:K5"/>
    <mergeCell ref="M5:O5"/>
    <mergeCell ref="P5:V5"/>
    <mergeCell ref="X5:Z5"/>
    <mergeCell ref="I1:J1"/>
    <mergeCell ref="T1:U1"/>
    <mergeCell ref="AE1:AF1"/>
    <mergeCell ref="AP1:AQ1"/>
    <mergeCell ref="D1:H2"/>
    <mergeCell ref="O1:S2"/>
    <mergeCell ref="AA6:AG7"/>
    <mergeCell ref="AH6:AH7"/>
    <mergeCell ref="AI6:AK7"/>
    <mergeCell ref="AL6:AR7"/>
    <mergeCell ref="C3:D3"/>
    <mergeCell ref="G3:I3"/>
    <mergeCell ref="N3:O3"/>
    <mergeCell ref="R3:T3"/>
    <mergeCell ref="Y3:Z3"/>
    <mergeCell ref="AC3:AE3"/>
    <mergeCell ref="AJ3:AK3"/>
    <mergeCell ref="AN3:AP3"/>
    <mergeCell ref="Z1:AD2"/>
    <mergeCell ref="AK1:AO2"/>
    <mergeCell ref="AI5:AK5"/>
    <mergeCell ref="AL5:AR5"/>
    <mergeCell ref="AA5:AG5"/>
  </mergeCells>
  <phoneticPr fontId="1"/>
  <printOptions horizontalCentered="1" verticalCentered="1"/>
  <pageMargins left="0.47244094488188981" right="0.19685039370078741" top="0.19685039370078741" bottom="0.19685039370078741" header="0.51181102362204722" footer="0.39370078740157483"/>
  <pageSetup paperSize="9" scale="88" orientation="portrait"/>
  <colBreaks count="3" manualBreakCount="3">
    <brk id="11" max="1048575" man="1"/>
    <brk id="22" max="1048575" man="1"/>
    <brk id="3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49"/>
  <sheetViews>
    <sheetView showGridLines="0" topLeftCell="A52" workbookViewId="0">
      <selection activeCell="E33" sqref="E33"/>
    </sheetView>
  </sheetViews>
  <sheetFormatPr defaultColWidth="9" defaultRowHeight="15" customHeight="1" x14ac:dyDescent="0.25"/>
  <cols>
    <col min="1" max="1" width="12.33203125" style="119" customWidth="1"/>
    <col min="2" max="2" width="9" style="119" customWidth="1"/>
    <col min="3" max="3" width="8.1328125" style="119" customWidth="1"/>
    <col min="4" max="6" width="9" style="119"/>
    <col min="7" max="7" width="15.1328125" style="119" customWidth="1"/>
    <col min="8" max="16384" width="9" style="119"/>
  </cols>
  <sheetData>
    <row r="1" spans="1:1" ht="18.75" x14ac:dyDescent="0.25">
      <c r="A1" s="125" t="s">
        <v>350</v>
      </c>
    </row>
    <row r="2" spans="1:1" ht="15" customHeight="1" x14ac:dyDescent="0.25">
      <c r="A2" s="118"/>
    </row>
    <row r="4" spans="1:1" ht="15" customHeight="1" x14ac:dyDescent="0.25">
      <c r="A4" s="118" t="s">
        <v>363</v>
      </c>
    </row>
    <row r="5" spans="1:1" ht="15" customHeight="1" x14ac:dyDescent="0.25">
      <c r="A5" s="119" t="s">
        <v>422</v>
      </c>
    </row>
    <row r="6" spans="1:1" ht="15" customHeight="1" x14ac:dyDescent="0.25">
      <c r="A6" s="122" t="s">
        <v>423</v>
      </c>
    </row>
    <row r="7" spans="1:1" ht="15" customHeight="1" x14ac:dyDescent="0.25">
      <c r="A7" s="122" t="s">
        <v>424</v>
      </c>
    </row>
    <row r="8" spans="1:1" ht="15" customHeight="1" x14ac:dyDescent="0.25">
      <c r="A8" s="122" t="s">
        <v>401</v>
      </c>
    </row>
    <row r="11" spans="1:1" s="118" customFormat="1" ht="15" customHeight="1" x14ac:dyDescent="0.25">
      <c r="A11" s="118" t="s">
        <v>351</v>
      </c>
    </row>
    <row r="12" spans="1:1" ht="15" customHeight="1" x14ac:dyDescent="0.25">
      <c r="A12" s="119" t="s">
        <v>353</v>
      </c>
    </row>
    <row r="13" spans="1:1" ht="15" customHeight="1" x14ac:dyDescent="0.25">
      <c r="A13" s="119" t="s">
        <v>397</v>
      </c>
    </row>
    <row r="16" spans="1:1" s="118" customFormat="1" ht="15" customHeight="1" x14ac:dyDescent="0.25">
      <c r="A16" s="118" t="s">
        <v>352</v>
      </c>
    </row>
    <row r="17" spans="1:9" ht="15" customHeight="1" thickBot="1" x14ac:dyDescent="0.3">
      <c r="A17" s="123" t="s">
        <v>402</v>
      </c>
    </row>
    <row r="18" spans="1:9" ht="15" customHeight="1" thickBot="1" x14ac:dyDescent="0.3">
      <c r="A18" s="119" t="s">
        <v>354</v>
      </c>
      <c r="B18" s="120"/>
      <c r="C18" s="124" t="s">
        <v>356</v>
      </c>
      <c r="D18" s="121"/>
      <c r="E18" s="119" t="s">
        <v>355</v>
      </c>
    </row>
    <row r="19" spans="1:9" ht="15" customHeight="1" thickBot="1" x14ac:dyDescent="0.3">
      <c r="B19" s="120"/>
      <c r="C19" s="124" t="s">
        <v>359</v>
      </c>
    </row>
    <row r="20" spans="1:9" ht="15" customHeight="1" thickBot="1" x14ac:dyDescent="0.3">
      <c r="B20" s="121"/>
      <c r="C20" s="119" t="s">
        <v>361</v>
      </c>
      <c r="H20" s="120"/>
      <c r="I20" s="119" t="s">
        <v>357</v>
      </c>
    </row>
    <row r="21" spans="1:9" ht="15" customHeight="1" thickBot="1" x14ac:dyDescent="0.3">
      <c r="B21" s="119" t="s">
        <v>360</v>
      </c>
      <c r="D21" s="121"/>
      <c r="E21" s="119" t="s">
        <v>358</v>
      </c>
    </row>
    <row r="22" spans="1:9" ht="15" customHeight="1" x14ac:dyDescent="0.25">
      <c r="A22" s="119" t="s">
        <v>398</v>
      </c>
    </row>
    <row r="23" spans="1:9" ht="15" customHeight="1" x14ac:dyDescent="0.25">
      <c r="A23" s="119" t="s">
        <v>399</v>
      </c>
    </row>
    <row r="24" spans="1:9" ht="15" customHeight="1" x14ac:dyDescent="0.25">
      <c r="A24" s="119" t="s">
        <v>425</v>
      </c>
    </row>
    <row r="25" spans="1:9" ht="15" customHeight="1" x14ac:dyDescent="0.25">
      <c r="A25" s="119" t="s">
        <v>428</v>
      </c>
    </row>
    <row r="26" spans="1:9" ht="15" customHeight="1" x14ac:dyDescent="0.25">
      <c r="A26" s="119" t="s">
        <v>426</v>
      </c>
    </row>
    <row r="29" spans="1:9" s="118" customFormat="1" ht="15" customHeight="1" x14ac:dyDescent="0.25">
      <c r="A29" s="118" t="s">
        <v>362</v>
      </c>
    </row>
    <row r="30" spans="1:9" ht="15" customHeight="1" x14ac:dyDescent="0.25">
      <c r="A30" s="119" t="s">
        <v>364</v>
      </c>
    </row>
    <row r="31" spans="1:9" ht="15" customHeight="1" x14ac:dyDescent="0.25">
      <c r="A31" s="119" t="s">
        <v>403</v>
      </c>
    </row>
    <row r="32" spans="1:9" ht="15" customHeight="1" x14ac:dyDescent="0.25">
      <c r="A32" s="119" t="s">
        <v>400</v>
      </c>
    </row>
    <row r="33" spans="1:17" ht="15" customHeight="1" x14ac:dyDescent="0.25">
      <c r="B33" s="119" t="s">
        <v>368</v>
      </c>
    </row>
    <row r="34" spans="1:17" ht="15" customHeight="1" x14ac:dyDescent="0.25">
      <c r="B34" s="126" t="s">
        <v>366</v>
      </c>
      <c r="C34" s="127"/>
      <c r="D34" s="127"/>
      <c r="E34" s="127"/>
      <c r="F34" s="127"/>
      <c r="G34" s="127"/>
      <c r="H34" s="127"/>
      <c r="I34" s="127"/>
      <c r="J34" s="127"/>
      <c r="K34" s="127"/>
      <c r="L34" s="127"/>
      <c r="M34" s="127"/>
      <c r="N34" s="127"/>
      <c r="O34" s="127"/>
      <c r="P34" s="127"/>
      <c r="Q34" s="184"/>
    </row>
    <row r="35" spans="1:17" ht="15" customHeight="1" x14ac:dyDescent="0.25">
      <c r="B35" s="128" t="s">
        <v>404</v>
      </c>
      <c r="Q35" s="185"/>
    </row>
    <row r="36" spans="1:17" ht="15" customHeight="1" x14ac:dyDescent="0.25">
      <c r="B36" s="128" t="s">
        <v>367</v>
      </c>
      <c r="Q36" s="185"/>
    </row>
    <row r="37" spans="1:17" ht="15" customHeight="1" x14ac:dyDescent="0.25">
      <c r="B37" s="129" t="s">
        <v>405</v>
      </c>
      <c r="C37" s="130"/>
      <c r="D37" s="130"/>
      <c r="E37" s="130"/>
      <c r="F37" s="130"/>
      <c r="G37" s="130"/>
      <c r="H37" s="130"/>
      <c r="I37" s="130"/>
      <c r="J37" s="130"/>
      <c r="K37" s="130"/>
      <c r="L37" s="130"/>
      <c r="M37" s="130"/>
      <c r="N37" s="130"/>
      <c r="O37" s="130"/>
      <c r="P37" s="130"/>
      <c r="Q37" s="186"/>
    </row>
    <row r="40" spans="1:17" ht="15" customHeight="1" x14ac:dyDescent="0.25">
      <c r="A40" s="118" t="s">
        <v>365</v>
      </c>
    </row>
    <row r="41" spans="1:17" ht="15" customHeight="1" x14ac:dyDescent="0.25">
      <c r="A41" s="119" t="s">
        <v>430</v>
      </c>
    </row>
    <row r="44" spans="1:17" ht="15" customHeight="1" x14ac:dyDescent="0.25">
      <c r="A44" s="118" t="s">
        <v>406</v>
      </c>
    </row>
    <row r="45" spans="1:17" ht="15" customHeight="1" x14ac:dyDescent="0.25">
      <c r="A45" s="119" t="s">
        <v>407</v>
      </c>
    </row>
    <row r="46" spans="1:17" ht="15" customHeight="1" x14ac:dyDescent="0.25">
      <c r="A46" s="119" t="s">
        <v>408</v>
      </c>
    </row>
    <row r="49" spans="1:1" ht="15" customHeight="1" x14ac:dyDescent="0.25">
      <c r="A49" s="118" t="s">
        <v>429</v>
      </c>
    </row>
  </sheetData>
  <phoneticPr fontId="1"/>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66"/>
  </sheetPr>
  <dimension ref="B1:M119"/>
  <sheetViews>
    <sheetView zoomScaleNormal="100" workbookViewId="0">
      <pane ySplit="3" topLeftCell="A4" activePane="bottomLeft" state="frozen"/>
      <selection pane="bottomLeft" activeCell="B115" sqref="B115:B119"/>
    </sheetView>
  </sheetViews>
  <sheetFormatPr defaultColWidth="9" defaultRowHeight="12.75" x14ac:dyDescent="0.25"/>
  <cols>
    <col min="1" max="1" width="2" style="11" customWidth="1"/>
    <col min="2" max="2" width="10.6640625" style="11" customWidth="1"/>
    <col min="3" max="8" width="9" style="11"/>
    <col min="9" max="9" width="2.33203125" style="10" bestFit="1" customWidth="1"/>
    <col min="10" max="13" width="9" style="10"/>
    <col min="14" max="16384" width="9" style="11"/>
  </cols>
  <sheetData>
    <row r="1" spans="2:10" ht="21" x14ac:dyDescent="0.25">
      <c r="B1" s="25"/>
      <c r="C1" s="224" t="s">
        <v>94</v>
      </c>
      <c r="D1" s="224"/>
      <c r="E1" s="224"/>
      <c r="F1" s="224"/>
      <c r="G1" s="224"/>
      <c r="H1" s="224"/>
    </row>
    <row r="2" spans="2:10" x14ac:dyDescent="0.25">
      <c r="C2" s="227">
        <f>基本情報!$B$2</f>
        <v>0</v>
      </c>
      <c r="D2" s="227"/>
      <c r="E2" s="225">
        <f>基本情報!$B$3</f>
        <v>0</v>
      </c>
      <c r="F2" s="225"/>
      <c r="G2" s="229" t="str">
        <f>IF(計算シート!$M$78=0,"",計算シート!$M$78&amp;"/48　特記入力済み")</f>
        <v/>
      </c>
      <c r="H2" s="229"/>
    </row>
    <row r="3" spans="2:10" ht="13.15" thickBot="1" x14ac:dyDescent="0.3">
      <c r="B3" s="12"/>
      <c r="C3" s="228"/>
      <c r="D3" s="228"/>
      <c r="E3" s="226"/>
      <c r="F3" s="226"/>
      <c r="G3" s="230"/>
      <c r="H3" s="230"/>
    </row>
    <row r="4" spans="2:10" ht="27" customHeight="1" thickBot="1" x14ac:dyDescent="0.3">
      <c r="B4" s="13" t="s">
        <v>37</v>
      </c>
      <c r="C4" s="195"/>
      <c r="D4" s="196"/>
      <c r="E4" s="196"/>
      <c r="F4" s="196"/>
      <c r="G4" s="196"/>
      <c r="H4" s="197"/>
      <c r="I4" s="85" t="str">
        <f>IF(C4="","",LEN(C4)&amp;"/240　文字")</f>
        <v/>
      </c>
    </row>
    <row r="5" spans="2:10" ht="27" customHeight="1" thickBot="1" x14ac:dyDescent="0.3">
      <c r="B5" s="15" t="s">
        <v>24</v>
      </c>
      <c r="C5" s="198"/>
      <c r="D5" s="199"/>
      <c r="E5" s="199"/>
      <c r="F5" s="199"/>
      <c r="G5" s="199"/>
      <c r="H5" s="200"/>
      <c r="I5" s="83"/>
      <c r="J5" s="28"/>
    </row>
    <row r="6" spans="2:10" ht="27" customHeight="1" thickBot="1" x14ac:dyDescent="0.3">
      <c r="B6" s="31" t="str">
        <f>IF(COUNTIF(計算シート!$B$2:$B$6,TRUE)=0,"麻痺なし",COUNTIF(計算シート!$B$2:$B$6,TRUE))</f>
        <v>麻痺なし</v>
      </c>
      <c r="C6" s="198"/>
      <c r="D6" s="199"/>
      <c r="E6" s="199"/>
      <c r="F6" s="199"/>
      <c r="G6" s="199"/>
      <c r="H6" s="200"/>
      <c r="I6" s="27"/>
      <c r="J6" s="28"/>
    </row>
    <row r="7" spans="2:10" ht="23.1" customHeight="1" thickBot="1" x14ac:dyDescent="0.3">
      <c r="B7" s="18"/>
      <c r="C7" s="198"/>
      <c r="D7" s="199"/>
      <c r="E7" s="199"/>
      <c r="F7" s="199"/>
      <c r="G7" s="199"/>
      <c r="H7" s="200"/>
      <c r="I7" s="30"/>
      <c r="J7" s="27"/>
    </row>
    <row r="8" spans="2:10" ht="23.1" customHeight="1" thickBot="1" x14ac:dyDescent="0.3">
      <c r="B8" s="19"/>
      <c r="C8" s="198"/>
      <c r="D8" s="199"/>
      <c r="E8" s="199"/>
      <c r="F8" s="199"/>
      <c r="G8" s="199"/>
      <c r="H8" s="200"/>
      <c r="I8" s="30"/>
      <c r="J8" s="27"/>
    </row>
    <row r="9" spans="2:10" ht="23.1" customHeight="1" thickBot="1" x14ac:dyDescent="0.3">
      <c r="B9" s="19"/>
      <c r="C9" s="198"/>
      <c r="D9" s="199"/>
      <c r="E9" s="199"/>
      <c r="F9" s="199"/>
      <c r="G9" s="199"/>
      <c r="H9" s="200"/>
      <c r="I9" s="30"/>
      <c r="J9" s="27"/>
    </row>
    <row r="10" spans="2:10" ht="23.1" customHeight="1" thickBot="1" x14ac:dyDescent="0.3">
      <c r="B10" s="19"/>
      <c r="C10" s="198"/>
      <c r="D10" s="199"/>
      <c r="E10" s="199"/>
      <c r="F10" s="199"/>
      <c r="G10" s="199"/>
      <c r="H10" s="200"/>
      <c r="I10" s="30"/>
      <c r="J10" s="27"/>
    </row>
    <row r="11" spans="2:10" ht="23.1" customHeight="1" thickBot="1" x14ac:dyDescent="0.3">
      <c r="B11" s="20"/>
      <c r="C11" s="201"/>
      <c r="D11" s="202"/>
      <c r="E11" s="202"/>
      <c r="F11" s="202"/>
      <c r="G11" s="202"/>
      <c r="H11" s="203"/>
      <c r="I11" s="30"/>
      <c r="J11" s="27"/>
    </row>
    <row r="12" spans="2:10" ht="20.100000000000001" customHeight="1" thickBot="1" x14ac:dyDescent="0.3">
      <c r="I12" s="28"/>
      <c r="J12" s="28"/>
    </row>
    <row r="13" spans="2:10" ht="27" customHeight="1" thickBot="1" x14ac:dyDescent="0.3">
      <c r="B13" s="13" t="s">
        <v>25</v>
      </c>
      <c r="C13" s="195"/>
      <c r="D13" s="196"/>
      <c r="E13" s="196"/>
      <c r="F13" s="196"/>
      <c r="G13" s="196"/>
      <c r="H13" s="197"/>
      <c r="I13" s="85" t="str">
        <f>IF(C13="","",LEN(C13)&amp;"/240　文字")</f>
        <v/>
      </c>
      <c r="J13" s="28"/>
    </row>
    <row r="14" spans="2:10" ht="27" customHeight="1" thickBot="1" x14ac:dyDescent="0.3">
      <c r="B14" s="15" t="s">
        <v>27</v>
      </c>
      <c r="C14" s="198"/>
      <c r="D14" s="199"/>
      <c r="E14" s="199"/>
      <c r="F14" s="199"/>
      <c r="G14" s="199"/>
      <c r="H14" s="200"/>
      <c r="I14" s="84"/>
      <c r="J14" s="28"/>
    </row>
    <row r="15" spans="2:10" ht="27" customHeight="1" thickBot="1" x14ac:dyDescent="0.3">
      <c r="B15" s="31" t="str">
        <f>IF(COUNTIF(計算シート!$B$9:$B$12,TRUE)=0,"拘縮なし",COUNTIF(計算シート!$B$9:$B$12,TRUE))</f>
        <v>拘縮なし</v>
      </c>
      <c r="C15" s="198"/>
      <c r="D15" s="199"/>
      <c r="E15" s="199"/>
      <c r="F15" s="199"/>
      <c r="G15" s="199"/>
      <c r="H15" s="200"/>
      <c r="I15" s="27"/>
      <c r="J15" s="28"/>
    </row>
    <row r="16" spans="2:10" ht="23.1" customHeight="1" thickBot="1" x14ac:dyDescent="0.3">
      <c r="B16" s="21"/>
      <c r="C16" s="198"/>
      <c r="D16" s="199"/>
      <c r="E16" s="199"/>
      <c r="F16" s="199"/>
      <c r="G16" s="199"/>
      <c r="H16" s="200"/>
      <c r="I16" s="27"/>
      <c r="J16" s="28"/>
    </row>
    <row r="17" spans="2:10" ht="23.1" customHeight="1" thickBot="1" x14ac:dyDescent="0.3">
      <c r="B17" s="18"/>
      <c r="C17" s="198"/>
      <c r="D17" s="199"/>
      <c r="E17" s="199"/>
      <c r="F17" s="199"/>
      <c r="G17" s="199"/>
      <c r="H17" s="200"/>
      <c r="I17" s="30"/>
      <c r="J17" s="27"/>
    </row>
    <row r="18" spans="2:10" ht="23.1" customHeight="1" thickBot="1" x14ac:dyDescent="0.3">
      <c r="B18" s="19"/>
      <c r="C18" s="198"/>
      <c r="D18" s="199"/>
      <c r="E18" s="199"/>
      <c r="F18" s="199"/>
      <c r="G18" s="199"/>
      <c r="H18" s="200"/>
      <c r="I18" s="30"/>
      <c r="J18" s="27"/>
    </row>
    <row r="19" spans="2:10" ht="23.1" customHeight="1" thickBot="1" x14ac:dyDescent="0.3">
      <c r="B19" s="22"/>
      <c r="C19" s="198"/>
      <c r="D19" s="199"/>
      <c r="E19" s="199"/>
      <c r="F19" s="199"/>
      <c r="G19" s="199"/>
      <c r="H19" s="200"/>
      <c r="I19" s="30"/>
      <c r="J19" s="27"/>
    </row>
    <row r="20" spans="2:10" ht="23.1" customHeight="1" thickBot="1" x14ac:dyDescent="0.3">
      <c r="B20" s="23"/>
      <c r="C20" s="201"/>
      <c r="D20" s="202"/>
      <c r="E20" s="202"/>
      <c r="F20" s="202"/>
      <c r="G20" s="202"/>
      <c r="H20" s="203"/>
      <c r="I20" s="30"/>
      <c r="J20" s="27"/>
    </row>
    <row r="21" spans="2:10" ht="20.100000000000001" customHeight="1" thickBot="1" x14ac:dyDescent="0.3"/>
    <row r="22" spans="2:10" ht="27" customHeight="1" thickBot="1" x14ac:dyDescent="0.3">
      <c r="B22" s="13" t="s">
        <v>26</v>
      </c>
      <c r="C22" s="195"/>
      <c r="D22" s="196"/>
      <c r="E22" s="196"/>
      <c r="F22" s="196"/>
      <c r="G22" s="196"/>
      <c r="H22" s="197"/>
      <c r="I22" s="85" t="str">
        <f>IF(C22="","",LEN(C22)&amp;"/240　文字")</f>
        <v/>
      </c>
    </row>
    <row r="23" spans="2:10" ht="27" customHeight="1" thickBot="1" x14ac:dyDescent="0.3">
      <c r="B23" s="15" t="s">
        <v>28</v>
      </c>
      <c r="C23" s="198"/>
      <c r="D23" s="199"/>
      <c r="E23" s="199"/>
      <c r="F23" s="199"/>
      <c r="G23" s="199"/>
      <c r="H23" s="200"/>
      <c r="I23" s="83"/>
    </row>
    <row r="24" spans="2:10" ht="27" customHeight="1" thickBot="1" x14ac:dyDescent="0.3">
      <c r="B24" s="32" t="str">
        <f>IF(B25="","",VLOOKUP(B25,I27:J29,2,FALSE))</f>
        <v/>
      </c>
      <c r="C24" s="198"/>
      <c r="D24" s="199"/>
      <c r="E24" s="199"/>
      <c r="F24" s="199"/>
      <c r="G24" s="199"/>
      <c r="H24" s="200"/>
      <c r="I24" s="14"/>
    </row>
    <row r="25" spans="2:10" ht="23.1" customHeight="1" thickBot="1" x14ac:dyDescent="0.3">
      <c r="B25" s="221"/>
      <c r="C25" s="198"/>
      <c r="D25" s="199"/>
      <c r="E25" s="199"/>
      <c r="F25" s="199"/>
      <c r="G25" s="199"/>
      <c r="H25" s="200"/>
    </row>
    <row r="26" spans="2:10" ht="23.1" customHeight="1" thickBot="1" x14ac:dyDescent="0.3">
      <c r="B26" s="222"/>
      <c r="C26" s="198"/>
      <c r="D26" s="199"/>
      <c r="E26" s="199"/>
      <c r="F26" s="199"/>
      <c r="G26" s="199"/>
      <c r="H26" s="200"/>
    </row>
    <row r="27" spans="2:10" ht="23.1" customHeight="1" thickBot="1" x14ac:dyDescent="0.3">
      <c r="B27" s="222"/>
      <c r="C27" s="198"/>
      <c r="D27" s="199"/>
      <c r="E27" s="199"/>
      <c r="F27" s="199"/>
      <c r="G27" s="199"/>
      <c r="H27" s="200"/>
      <c r="I27" s="14">
        <v>1</v>
      </c>
      <c r="J27" s="14" t="s">
        <v>49</v>
      </c>
    </row>
    <row r="28" spans="2:10" ht="23.1" customHeight="1" thickBot="1" x14ac:dyDescent="0.3">
      <c r="B28" s="222"/>
      <c r="C28" s="198"/>
      <c r="D28" s="199"/>
      <c r="E28" s="199"/>
      <c r="F28" s="199"/>
      <c r="G28" s="199"/>
      <c r="H28" s="200"/>
      <c r="I28" s="14">
        <v>2</v>
      </c>
      <c r="J28" s="14" t="s">
        <v>50</v>
      </c>
    </row>
    <row r="29" spans="2:10" ht="23.1" customHeight="1" thickBot="1" x14ac:dyDescent="0.3">
      <c r="B29" s="223"/>
      <c r="C29" s="201"/>
      <c r="D29" s="202"/>
      <c r="E29" s="202"/>
      <c r="F29" s="202"/>
      <c r="G29" s="202"/>
      <c r="H29" s="203"/>
      <c r="I29" s="14">
        <v>3</v>
      </c>
      <c r="J29" s="14" t="s">
        <v>51</v>
      </c>
    </row>
    <row r="30" spans="2:10" ht="20.100000000000001" customHeight="1" thickBot="1" x14ac:dyDescent="0.3"/>
    <row r="31" spans="2:10" ht="27" customHeight="1" thickBot="1" x14ac:dyDescent="0.3">
      <c r="B31" s="13" t="s">
        <v>38</v>
      </c>
      <c r="C31" s="195"/>
      <c r="D31" s="196"/>
      <c r="E31" s="196"/>
      <c r="F31" s="196"/>
      <c r="G31" s="196"/>
      <c r="H31" s="197"/>
      <c r="I31" s="85" t="str">
        <f>IF(C31="","",LEN(C31)&amp;"/240　文字")</f>
        <v/>
      </c>
    </row>
    <row r="32" spans="2:10" ht="27" customHeight="1" thickBot="1" x14ac:dyDescent="0.3">
      <c r="B32" s="15" t="s">
        <v>29</v>
      </c>
      <c r="C32" s="198"/>
      <c r="D32" s="199"/>
      <c r="E32" s="199"/>
      <c r="F32" s="199"/>
      <c r="G32" s="199"/>
      <c r="H32" s="200"/>
      <c r="I32" s="83"/>
    </row>
    <row r="33" spans="2:10" ht="27" customHeight="1" thickBot="1" x14ac:dyDescent="0.3">
      <c r="B33" s="32" t="str">
        <f>IF(B34="","",VLOOKUP(B34,I36:J38,2,FALSE))</f>
        <v/>
      </c>
      <c r="C33" s="198"/>
      <c r="D33" s="199"/>
      <c r="E33" s="199"/>
      <c r="F33" s="199"/>
      <c r="G33" s="199"/>
      <c r="H33" s="200"/>
      <c r="I33" s="14"/>
    </row>
    <row r="34" spans="2:10" ht="23.1" customHeight="1" thickBot="1" x14ac:dyDescent="0.3">
      <c r="B34" s="221"/>
      <c r="C34" s="198"/>
      <c r="D34" s="199"/>
      <c r="E34" s="199"/>
      <c r="F34" s="199"/>
      <c r="G34" s="199"/>
      <c r="H34" s="200"/>
      <c r="I34" s="14"/>
    </row>
    <row r="35" spans="2:10" ht="23.1" customHeight="1" thickBot="1" x14ac:dyDescent="0.3">
      <c r="B35" s="222"/>
      <c r="C35" s="198"/>
      <c r="D35" s="199"/>
      <c r="E35" s="199"/>
      <c r="F35" s="199"/>
      <c r="G35" s="199"/>
      <c r="H35" s="200"/>
      <c r="I35" s="14"/>
    </row>
    <row r="36" spans="2:10" ht="23.1" customHeight="1" thickBot="1" x14ac:dyDescent="0.3">
      <c r="B36" s="222"/>
      <c r="C36" s="198"/>
      <c r="D36" s="199"/>
      <c r="E36" s="199"/>
      <c r="F36" s="199"/>
      <c r="G36" s="199"/>
      <c r="H36" s="200"/>
      <c r="I36" s="14">
        <v>1</v>
      </c>
      <c r="J36" s="14" t="s">
        <v>49</v>
      </c>
    </row>
    <row r="37" spans="2:10" ht="23.1" customHeight="1" thickBot="1" x14ac:dyDescent="0.3">
      <c r="B37" s="222"/>
      <c r="C37" s="198"/>
      <c r="D37" s="199"/>
      <c r="E37" s="199"/>
      <c r="F37" s="199"/>
      <c r="G37" s="199"/>
      <c r="H37" s="200"/>
      <c r="I37" s="14">
        <v>2</v>
      </c>
      <c r="J37" s="14" t="s">
        <v>50</v>
      </c>
    </row>
    <row r="38" spans="2:10" ht="23.1" customHeight="1" thickBot="1" x14ac:dyDescent="0.3">
      <c r="B38" s="223"/>
      <c r="C38" s="201"/>
      <c r="D38" s="202"/>
      <c r="E38" s="202"/>
      <c r="F38" s="202"/>
      <c r="G38" s="202"/>
      <c r="H38" s="203"/>
      <c r="I38" s="14">
        <v>3</v>
      </c>
      <c r="J38" s="14" t="s">
        <v>51</v>
      </c>
    </row>
    <row r="39" spans="2:10" ht="20.100000000000001" customHeight="1" thickBot="1" x14ac:dyDescent="0.3"/>
    <row r="40" spans="2:10" ht="27" customHeight="1" thickBot="1" x14ac:dyDescent="0.3">
      <c r="B40" s="13" t="s">
        <v>39</v>
      </c>
      <c r="C40" s="195"/>
      <c r="D40" s="196"/>
      <c r="E40" s="196"/>
      <c r="F40" s="196"/>
      <c r="G40" s="196"/>
      <c r="H40" s="197"/>
      <c r="I40" s="85" t="str">
        <f>IF(C40="","",LEN(C40)&amp;"/240　文字")</f>
        <v/>
      </c>
    </row>
    <row r="41" spans="2:10" ht="27" customHeight="1" thickBot="1" x14ac:dyDescent="0.3">
      <c r="B41" s="15" t="s">
        <v>30</v>
      </c>
      <c r="C41" s="198"/>
      <c r="D41" s="199"/>
      <c r="E41" s="199"/>
      <c r="F41" s="199"/>
      <c r="G41" s="199"/>
      <c r="H41" s="200"/>
      <c r="I41" s="83"/>
    </row>
    <row r="42" spans="2:10" ht="27" customHeight="1" thickBot="1" x14ac:dyDescent="0.3">
      <c r="B42" s="33" t="str">
        <f>IF(B43="","",VLOOKUP(B43,I44:J47,2,FALSE))</f>
        <v/>
      </c>
      <c r="C42" s="198"/>
      <c r="D42" s="199"/>
      <c r="E42" s="199"/>
      <c r="F42" s="199"/>
      <c r="G42" s="199"/>
      <c r="H42" s="200"/>
      <c r="I42" s="14"/>
    </row>
    <row r="43" spans="2:10" ht="23.1" customHeight="1" thickBot="1" x14ac:dyDescent="0.3">
      <c r="B43" s="221"/>
      <c r="C43" s="198"/>
      <c r="D43" s="199"/>
      <c r="E43" s="199"/>
      <c r="F43" s="199"/>
      <c r="G43" s="199"/>
      <c r="H43" s="200"/>
      <c r="I43" s="14"/>
    </row>
    <row r="44" spans="2:10" ht="23.1" customHeight="1" thickBot="1" x14ac:dyDescent="0.3">
      <c r="B44" s="222"/>
      <c r="C44" s="198"/>
      <c r="D44" s="199"/>
      <c r="E44" s="199"/>
      <c r="F44" s="199"/>
      <c r="G44" s="199"/>
      <c r="H44" s="200"/>
      <c r="I44" s="14">
        <v>1</v>
      </c>
      <c r="J44" s="14" t="s">
        <v>49</v>
      </c>
    </row>
    <row r="45" spans="2:10" ht="23.1" customHeight="1" thickBot="1" x14ac:dyDescent="0.3">
      <c r="B45" s="222"/>
      <c r="C45" s="198"/>
      <c r="D45" s="199"/>
      <c r="E45" s="199"/>
      <c r="F45" s="199"/>
      <c r="G45" s="199"/>
      <c r="H45" s="200"/>
      <c r="I45" s="14">
        <v>2</v>
      </c>
      <c r="J45" s="14" t="s">
        <v>48</v>
      </c>
    </row>
    <row r="46" spans="2:10" ht="23.1" customHeight="1" thickBot="1" x14ac:dyDescent="0.3">
      <c r="B46" s="222"/>
      <c r="C46" s="198"/>
      <c r="D46" s="199"/>
      <c r="E46" s="199"/>
      <c r="F46" s="199"/>
      <c r="G46" s="199"/>
      <c r="H46" s="200"/>
      <c r="I46" s="14">
        <v>3</v>
      </c>
      <c r="J46" s="14" t="s">
        <v>52</v>
      </c>
    </row>
    <row r="47" spans="2:10" ht="23.1" customHeight="1" thickBot="1" x14ac:dyDescent="0.3">
      <c r="B47" s="223"/>
      <c r="C47" s="201"/>
      <c r="D47" s="202"/>
      <c r="E47" s="202"/>
      <c r="F47" s="202"/>
      <c r="G47" s="202"/>
      <c r="H47" s="203"/>
      <c r="I47" s="14">
        <v>4</v>
      </c>
      <c r="J47" s="14" t="s">
        <v>51</v>
      </c>
    </row>
    <row r="48" spans="2:10" ht="20.100000000000001" customHeight="1" thickBot="1" x14ac:dyDescent="0.3"/>
    <row r="49" spans="2:10" ht="27" customHeight="1" thickBot="1" x14ac:dyDescent="0.3">
      <c r="B49" s="13" t="s">
        <v>40</v>
      </c>
      <c r="C49" s="195"/>
      <c r="D49" s="196"/>
      <c r="E49" s="196"/>
      <c r="F49" s="196"/>
      <c r="G49" s="196"/>
      <c r="H49" s="197"/>
      <c r="I49" s="85" t="str">
        <f>IF(C49="","",LEN(C49)&amp;"/240　文字")</f>
        <v/>
      </c>
    </row>
    <row r="50" spans="2:10" ht="27" customHeight="1" thickBot="1" x14ac:dyDescent="0.3">
      <c r="B50" s="26" t="s">
        <v>191</v>
      </c>
      <c r="C50" s="198"/>
      <c r="D50" s="199"/>
      <c r="E50" s="199"/>
      <c r="F50" s="199"/>
      <c r="G50" s="199"/>
      <c r="H50" s="200"/>
      <c r="I50" s="83"/>
    </row>
    <row r="51" spans="2:10" ht="27" customHeight="1" thickBot="1" x14ac:dyDescent="0.3">
      <c r="B51" s="33" t="str">
        <f>IF(B52="","",VLOOKUP(B52,I54:J56,2,FALSE))</f>
        <v/>
      </c>
      <c r="C51" s="198"/>
      <c r="D51" s="199"/>
      <c r="E51" s="199"/>
      <c r="F51" s="199"/>
      <c r="G51" s="199"/>
      <c r="H51" s="200"/>
      <c r="I51" s="14"/>
    </row>
    <row r="52" spans="2:10" ht="23.1" customHeight="1" thickBot="1" x14ac:dyDescent="0.3">
      <c r="B52" s="221"/>
      <c r="C52" s="198"/>
      <c r="D52" s="199"/>
      <c r="E52" s="199"/>
      <c r="F52" s="199"/>
      <c r="G52" s="199"/>
      <c r="H52" s="200"/>
      <c r="I52" s="14"/>
    </row>
    <row r="53" spans="2:10" ht="23.1" customHeight="1" thickBot="1" x14ac:dyDescent="0.3">
      <c r="B53" s="222"/>
      <c r="C53" s="198"/>
      <c r="D53" s="199"/>
      <c r="E53" s="199"/>
      <c r="F53" s="199"/>
      <c r="G53" s="199"/>
      <c r="H53" s="200"/>
      <c r="I53" s="14"/>
    </row>
    <row r="54" spans="2:10" ht="23.1" customHeight="1" thickBot="1" x14ac:dyDescent="0.3">
      <c r="B54" s="222"/>
      <c r="C54" s="198"/>
      <c r="D54" s="199"/>
      <c r="E54" s="199"/>
      <c r="F54" s="199"/>
      <c r="G54" s="199"/>
      <c r="H54" s="200"/>
      <c r="I54" s="14">
        <v>1</v>
      </c>
      <c r="J54" s="14" t="s">
        <v>49</v>
      </c>
    </row>
    <row r="55" spans="2:10" ht="23.1" customHeight="1" thickBot="1" x14ac:dyDescent="0.3">
      <c r="B55" s="222"/>
      <c r="C55" s="198"/>
      <c r="D55" s="199"/>
      <c r="E55" s="199"/>
      <c r="F55" s="199"/>
      <c r="G55" s="199"/>
      <c r="H55" s="200"/>
      <c r="I55" s="14">
        <v>2</v>
      </c>
      <c r="J55" s="14" t="s">
        <v>52</v>
      </c>
    </row>
    <row r="56" spans="2:10" ht="23.1" customHeight="1" thickBot="1" x14ac:dyDescent="0.3">
      <c r="B56" s="223"/>
      <c r="C56" s="201"/>
      <c r="D56" s="202"/>
      <c r="E56" s="202"/>
      <c r="F56" s="202"/>
      <c r="G56" s="202"/>
      <c r="H56" s="203"/>
      <c r="I56" s="14">
        <v>3</v>
      </c>
      <c r="J56" s="14" t="s">
        <v>51</v>
      </c>
    </row>
    <row r="57" spans="2:10" ht="20.100000000000001" customHeight="1" thickBot="1" x14ac:dyDescent="0.3"/>
    <row r="58" spans="2:10" ht="27" customHeight="1" thickBot="1" x14ac:dyDescent="0.3">
      <c r="B58" s="13" t="s">
        <v>41</v>
      </c>
      <c r="C58" s="195"/>
      <c r="D58" s="196"/>
      <c r="E58" s="196"/>
      <c r="F58" s="196"/>
      <c r="G58" s="196"/>
      <c r="H58" s="197"/>
      <c r="I58" s="85" t="str">
        <f>IF(C58="","",LEN(C58)&amp;"/240　文字")</f>
        <v/>
      </c>
    </row>
    <row r="59" spans="2:10" ht="27" customHeight="1" thickBot="1" x14ac:dyDescent="0.3">
      <c r="B59" s="15" t="s">
        <v>31</v>
      </c>
      <c r="C59" s="198"/>
      <c r="D59" s="199"/>
      <c r="E59" s="199"/>
      <c r="F59" s="199"/>
      <c r="G59" s="199"/>
      <c r="H59" s="200"/>
      <c r="I59" s="83"/>
    </row>
    <row r="60" spans="2:10" ht="27" customHeight="1" thickBot="1" x14ac:dyDescent="0.3">
      <c r="B60" s="32" t="str">
        <f>IF(B61="","",VLOOKUP(B61,I63:J65,2,FALSE))</f>
        <v/>
      </c>
      <c r="C60" s="198"/>
      <c r="D60" s="199"/>
      <c r="E60" s="199"/>
      <c r="F60" s="199"/>
      <c r="G60" s="199"/>
      <c r="H60" s="200"/>
      <c r="I60" s="14"/>
    </row>
    <row r="61" spans="2:10" ht="23.1" customHeight="1" thickBot="1" x14ac:dyDescent="0.3">
      <c r="B61" s="221"/>
      <c r="C61" s="198"/>
      <c r="D61" s="199"/>
      <c r="E61" s="199"/>
      <c r="F61" s="199"/>
      <c r="G61" s="199"/>
      <c r="H61" s="200"/>
      <c r="I61" s="14"/>
    </row>
    <row r="62" spans="2:10" ht="23.1" customHeight="1" thickBot="1" x14ac:dyDescent="0.3">
      <c r="B62" s="222"/>
      <c r="C62" s="198"/>
      <c r="D62" s="199"/>
      <c r="E62" s="199"/>
      <c r="F62" s="199"/>
      <c r="G62" s="199"/>
      <c r="H62" s="200"/>
      <c r="I62" s="14"/>
    </row>
    <row r="63" spans="2:10" ht="23.1" customHeight="1" thickBot="1" x14ac:dyDescent="0.3">
      <c r="B63" s="222"/>
      <c r="C63" s="198"/>
      <c r="D63" s="199"/>
      <c r="E63" s="199"/>
      <c r="F63" s="199"/>
      <c r="G63" s="199"/>
      <c r="H63" s="200"/>
      <c r="I63" s="14">
        <v>1</v>
      </c>
      <c r="J63" s="14" t="s">
        <v>49</v>
      </c>
    </row>
    <row r="64" spans="2:10" ht="23.1" customHeight="1" thickBot="1" x14ac:dyDescent="0.3">
      <c r="B64" s="222"/>
      <c r="C64" s="198"/>
      <c r="D64" s="199"/>
      <c r="E64" s="199"/>
      <c r="F64" s="199"/>
      <c r="G64" s="199"/>
      <c r="H64" s="200"/>
      <c r="I64" s="14">
        <v>2</v>
      </c>
      <c r="J64" s="14" t="s">
        <v>50</v>
      </c>
    </row>
    <row r="65" spans="2:10" ht="23.1" customHeight="1" thickBot="1" x14ac:dyDescent="0.3">
      <c r="B65" s="223"/>
      <c r="C65" s="201"/>
      <c r="D65" s="202"/>
      <c r="E65" s="202"/>
      <c r="F65" s="202"/>
      <c r="G65" s="202"/>
      <c r="H65" s="203"/>
      <c r="I65" s="14">
        <v>3</v>
      </c>
      <c r="J65" s="14" t="s">
        <v>51</v>
      </c>
    </row>
    <row r="66" spans="2:10" ht="20.100000000000001" customHeight="1" thickBot="1" x14ac:dyDescent="0.3"/>
    <row r="67" spans="2:10" ht="27" customHeight="1" thickBot="1" x14ac:dyDescent="0.3">
      <c r="B67" s="13" t="s">
        <v>42</v>
      </c>
      <c r="C67" s="195"/>
      <c r="D67" s="196"/>
      <c r="E67" s="196"/>
      <c r="F67" s="196"/>
      <c r="G67" s="196"/>
      <c r="H67" s="197"/>
      <c r="I67" s="85" t="str">
        <f>IF(C67="","",LEN(C67)&amp;"/240　文字")</f>
        <v/>
      </c>
    </row>
    <row r="68" spans="2:10" ht="27" customHeight="1" thickBot="1" x14ac:dyDescent="0.3">
      <c r="B68" s="15" t="s">
        <v>32</v>
      </c>
      <c r="C68" s="198"/>
      <c r="D68" s="199"/>
      <c r="E68" s="199"/>
      <c r="F68" s="199"/>
      <c r="G68" s="199"/>
      <c r="H68" s="200"/>
      <c r="I68" s="83"/>
    </row>
    <row r="69" spans="2:10" ht="27" customHeight="1" thickBot="1" x14ac:dyDescent="0.3">
      <c r="B69" s="32" t="str">
        <f>IF(B70="","",VLOOKUP(B70,I72:J74,2,FALSE))</f>
        <v/>
      </c>
      <c r="C69" s="198"/>
      <c r="D69" s="199"/>
      <c r="E69" s="199"/>
      <c r="F69" s="199"/>
      <c r="G69" s="199"/>
      <c r="H69" s="200"/>
      <c r="I69" s="14"/>
    </row>
    <row r="70" spans="2:10" ht="23.1" customHeight="1" thickBot="1" x14ac:dyDescent="0.3">
      <c r="B70" s="221"/>
      <c r="C70" s="198"/>
      <c r="D70" s="199"/>
      <c r="E70" s="199"/>
      <c r="F70" s="199"/>
      <c r="G70" s="199"/>
      <c r="H70" s="200"/>
      <c r="I70" s="14"/>
    </row>
    <row r="71" spans="2:10" ht="23.1" customHeight="1" thickBot="1" x14ac:dyDescent="0.3">
      <c r="B71" s="222"/>
      <c r="C71" s="198"/>
      <c r="D71" s="199"/>
      <c r="E71" s="199"/>
      <c r="F71" s="199"/>
      <c r="G71" s="199"/>
      <c r="H71" s="200"/>
      <c r="I71" s="14"/>
    </row>
    <row r="72" spans="2:10" ht="23.1" customHeight="1" thickBot="1" x14ac:dyDescent="0.3">
      <c r="B72" s="222"/>
      <c r="C72" s="198"/>
      <c r="D72" s="199"/>
      <c r="E72" s="199"/>
      <c r="F72" s="199"/>
      <c r="G72" s="199"/>
      <c r="H72" s="200"/>
      <c r="I72" s="14">
        <v>1</v>
      </c>
      <c r="J72" s="14" t="s">
        <v>49</v>
      </c>
    </row>
    <row r="73" spans="2:10" ht="23.1" customHeight="1" thickBot="1" x14ac:dyDescent="0.3">
      <c r="B73" s="222"/>
      <c r="C73" s="198"/>
      <c r="D73" s="199"/>
      <c r="E73" s="199"/>
      <c r="F73" s="199"/>
      <c r="G73" s="199"/>
      <c r="H73" s="200"/>
      <c r="I73" s="14">
        <v>2</v>
      </c>
      <c r="J73" s="14" t="s">
        <v>50</v>
      </c>
    </row>
    <row r="74" spans="2:10" ht="23.1" customHeight="1" thickBot="1" x14ac:dyDescent="0.3">
      <c r="B74" s="223"/>
      <c r="C74" s="201"/>
      <c r="D74" s="202"/>
      <c r="E74" s="202"/>
      <c r="F74" s="202"/>
      <c r="G74" s="202"/>
      <c r="H74" s="203"/>
      <c r="I74" s="14">
        <v>3</v>
      </c>
      <c r="J74" s="14" t="s">
        <v>51</v>
      </c>
    </row>
    <row r="75" spans="2:10" ht="20.100000000000001" customHeight="1" thickBot="1" x14ac:dyDescent="0.3"/>
    <row r="76" spans="2:10" ht="27" customHeight="1" thickBot="1" x14ac:dyDescent="0.3">
      <c r="B76" s="13" t="s">
        <v>43</v>
      </c>
      <c r="C76" s="195"/>
      <c r="D76" s="196"/>
      <c r="E76" s="196"/>
      <c r="F76" s="196"/>
      <c r="G76" s="196"/>
      <c r="H76" s="197"/>
      <c r="I76" s="85" t="str">
        <f>IF(C76="","",LEN(C76)&amp;"/240　文字")</f>
        <v/>
      </c>
    </row>
    <row r="77" spans="2:10" ht="27" customHeight="1" thickBot="1" x14ac:dyDescent="0.3">
      <c r="B77" s="26" t="s">
        <v>192</v>
      </c>
      <c r="C77" s="198"/>
      <c r="D77" s="199"/>
      <c r="E77" s="199"/>
      <c r="F77" s="199"/>
      <c r="G77" s="199"/>
      <c r="H77" s="200"/>
      <c r="I77" s="83"/>
    </row>
    <row r="78" spans="2:10" ht="27" customHeight="1" thickBot="1" x14ac:dyDescent="0.3">
      <c r="B78" s="33" t="str">
        <f>IF(B79="","",VLOOKUP(B79,I81:J83,2,FALSE))</f>
        <v/>
      </c>
      <c r="C78" s="198"/>
      <c r="D78" s="199"/>
      <c r="E78" s="199"/>
      <c r="F78" s="199"/>
      <c r="G78" s="199"/>
      <c r="H78" s="200"/>
      <c r="I78" s="14"/>
    </row>
    <row r="79" spans="2:10" ht="23.1" customHeight="1" thickBot="1" x14ac:dyDescent="0.3">
      <c r="B79" s="221"/>
      <c r="C79" s="198"/>
      <c r="D79" s="199"/>
      <c r="E79" s="199"/>
      <c r="F79" s="199"/>
      <c r="G79" s="199"/>
      <c r="H79" s="200"/>
      <c r="I79" s="14"/>
    </row>
    <row r="80" spans="2:10" ht="23.1" customHeight="1" thickBot="1" x14ac:dyDescent="0.3">
      <c r="B80" s="222"/>
      <c r="C80" s="198"/>
      <c r="D80" s="199"/>
      <c r="E80" s="199"/>
      <c r="F80" s="199"/>
      <c r="G80" s="199"/>
      <c r="H80" s="200"/>
      <c r="I80" s="14"/>
    </row>
    <row r="81" spans="2:10" ht="23.1" customHeight="1" thickBot="1" x14ac:dyDescent="0.3">
      <c r="B81" s="222"/>
      <c r="C81" s="198"/>
      <c r="D81" s="199"/>
      <c r="E81" s="199"/>
      <c r="F81" s="199"/>
      <c r="G81" s="199"/>
      <c r="H81" s="200"/>
      <c r="I81" s="14">
        <v>1</v>
      </c>
      <c r="J81" s="14" t="s">
        <v>49</v>
      </c>
    </row>
    <row r="82" spans="2:10" ht="23.1" customHeight="1" thickBot="1" x14ac:dyDescent="0.3">
      <c r="B82" s="222"/>
      <c r="C82" s="198"/>
      <c r="D82" s="199"/>
      <c r="E82" s="199"/>
      <c r="F82" s="199"/>
      <c r="G82" s="199"/>
      <c r="H82" s="200"/>
      <c r="I82" s="14">
        <v>2</v>
      </c>
      <c r="J82" s="14" t="s">
        <v>52</v>
      </c>
    </row>
    <row r="83" spans="2:10" ht="23.1" customHeight="1" thickBot="1" x14ac:dyDescent="0.3">
      <c r="B83" s="223"/>
      <c r="C83" s="201"/>
      <c r="D83" s="202"/>
      <c r="E83" s="202"/>
      <c r="F83" s="202"/>
      <c r="G83" s="202"/>
      <c r="H83" s="203"/>
      <c r="I83" s="14">
        <v>3</v>
      </c>
      <c r="J83" s="14" t="s">
        <v>51</v>
      </c>
    </row>
    <row r="84" spans="2:10" ht="20.100000000000001" customHeight="1" thickBot="1" x14ac:dyDescent="0.3"/>
    <row r="85" spans="2:10" ht="27" customHeight="1" thickBot="1" x14ac:dyDescent="0.3">
      <c r="B85" s="13" t="s">
        <v>44</v>
      </c>
      <c r="C85" s="195"/>
      <c r="D85" s="196"/>
      <c r="E85" s="196"/>
      <c r="F85" s="196"/>
      <c r="G85" s="196"/>
      <c r="H85" s="197"/>
      <c r="I85" s="85" t="str">
        <f>IF(C85="","",LEN(C85)&amp;"/240　文字")</f>
        <v/>
      </c>
    </row>
    <row r="86" spans="2:10" ht="27" customHeight="1" thickBot="1" x14ac:dyDescent="0.3">
      <c r="B86" s="15" t="s">
        <v>33</v>
      </c>
      <c r="C86" s="198"/>
      <c r="D86" s="199"/>
      <c r="E86" s="199"/>
      <c r="F86" s="199"/>
      <c r="G86" s="199"/>
      <c r="H86" s="200"/>
      <c r="I86" s="83"/>
    </row>
    <row r="87" spans="2:10" ht="27" customHeight="1" thickBot="1" x14ac:dyDescent="0.3">
      <c r="B87" s="146" t="str">
        <f>IF(B88="","",VLOOKUP(B88,I89:J92,2,FALSE))</f>
        <v/>
      </c>
      <c r="C87" s="198"/>
      <c r="D87" s="199"/>
      <c r="E87" s="199"/>
      <c r="F87" s="199"/>
      <c r="G87" s="199"/>
      <c r="H87" s="200"/>
      <c r="I87" s="14"/>
    </row>
    <row r="88" spans="2:10" ht="23.1" customHeight="1" thickBot="1" x14ac:dyDescent="0.3">
      <c r="B88" s="221"/>
      <c r="C88" s="198"/>
      <c r="D88" s="199"/>
      <c r="E88" s="199"/>
      <c r="F88" s="199"/>
      <c r="G88" s="199"/>
      <c r="H88" s="200"/>
      <c r="I88" s="14"/>
    </row>
    <row r="89" spans="2:10" ht="23.1" customHeight="1" thickBot="1" x14ac:dyDescent="0.3">
      <c r="B89" s="222"/>
      <c r="C89" s="198"/>
      <c r="D89" s="199"/>
      <c r="E89" s="199"/>
      <c r="F89" s="199"/>
      <c r="G89" s="199"/>
      <c r="H89" s="200"/>
      <c r="I89" s="14">
        <v>1</v>
      </c>
      <c r="J89" s="14" t="s">
        <v>90</v>
      </c>
    </row>
    <row r="90" spans="2:10" ht="23.1" customHeight="1" thickBot="1" x14ac:dyDescent="0.3">
      <c r="B90" s="222"/>
      <c r="C90" s="198"/>
      <c r="D90" s="199"/>
      <c r="E90" s="199"/>
      <c r="F90" s="199"/>
      <c r="G90" s="199"/>
      <c r="H90" s="200"/>
      <c r="I90" s="14">
        <v>2</v>
      </c>
      <c r="J90" s="14" t="s">
        <v>53</v>
      </c>
    </row>
    <row r="91" spans="2:10" ht="23.1" customHeight="1" thickBot="1" x14ac:dyDescent="0.3">
      <c r="B91" s="222"/>
      <c r="C91" s="198"/>
      <c r="D91" s="199"/>
      <c r="E91" s="199"/>
      <c r="F91" s="199"/>
      <c r="G91" s="199"/>
      <c r="H91" s="200"/>
      <c r="I91" s="14">
        <v>3</v>
      </c>
      <c r="J91" s="14" t="s">
        <v>54</v>
      </c>
    </row>
    <row r="92" spans="2:10" ht="23.1" customHeight="1" thickBot="1" x14ac:dyDescent="0.3">
      <c r="B92" s="223"/>
      <c r="C92" s="201"/>
      <c r="D92" s="202"/>
      <c r="E92" s="202"/>
      <c r="F92" s="202"/>
      <c r="G92" s="202"/>
      <c r="H92" s="203"/>
      <c r="I92" s="14">
        <v>4</v>
      </c>
      <c r="J92" s="14" t="s">
        <v>55</v>
      </c>
    </row>
    <row r="93" spans="2:10" ht="20.100000000000001" customHeight="1" thickBot="1" x14ac:dyDescent="0.3"/>
    <row r="94" spans="2:10" ht="27" customHeight="1" thickBot="1" x14ac:dyDescent="0.3">
      <c r="B94" s="13" t="s">
        <v>45</v>
      </c>
      <c r="C94" s="195"/>
      <c r="D94" s="196"/>
      <c r="E94" s="196"/>
      <c r="F94" s="196"/>
      <c r="G94" s="196"/>
      <c r="H94" s="197"/>
      <c r="I94" s="85" t="str">
        <f>IF(C94="","",LEN(C94)&amp;"/240　文字")</f>
        <v/>
      </c>
    </row>
    <row r="95" spans="2:10" ht="27" customHeight="1" thickBot="1" x14ac:dyDescent="0.3">
      <c r="B95" s="15" t="s">
        <v>34</v>
      </c>
      <c r="C95" s="198"/>
      <c r="D95" s="199"/>
      <c r="E95" s="199"/>
      <c r="F95" s="199"/>
      <c r="G95" s="199"/>
      <c r="H95" s="200"/>
      <c r="I95" s="83"/>
    </row>
    <row r="96" spans="2:10" ht="27" customHeight="1" thickBot="1" x14ac:dyDescent="0.3">
      <c r="B96" s="33" t="str">
        <f>IF(B97="","",VLOOKUP(B97,I99:J101,2,FALSE))</f>
        <v/>
      </c>
      <c r="C96" s="198"/>
      <c r="D96" s="199"/>
      <c r="E96" s="199"/>
      <c r="F96" s="199"/>
      <c r="G96" s="199"/>
      <c r="H96" s="200"/>
      <c r="I96" s="14"/>
    </row>
    <row r="97" spans="2:10" ht="23.1" customHeight="1" thickBot="1" x14ac:dyDescent="0.3">
      <c r="B97" s="221"/>
      <c r="C97" s="198"/>
      <c r="D97" s="199"/>
      <c r="E97" s="199"/>
      <c r="F97" s="199"/>
      <c r="G97" s="199"/>
      <c r="H97" s="200"/>
      <c r="I97" s="14"/>
    </row>
    <row r="98" spans="2:10" ht="23.1" customHeight="1" thickBot="1" x14ac:dyDescent="0.3">
      <c r="B98" s="222"/>
      <c r="C98" s="198"/>
      <c r="D98" s="199"/>
      <c r="E98" s="199"/>
      <c r="F98" s="199"/>
      <c r="G98" s="199"/>
      <c r="H98" s="200"/>
      <c r="I98" s="14"/>
    </row>
    <row r="99" spans="2:10" ht="23.1" customHeight="1" thickBot="1" x14ac:dyDescent="0.3">
      <c r="B99" s="222"/>
      <c r="C99" s="198"/>
      <c r="D99" s="199"/>
      <c r="E99" s="199"/>
      <c r="F99" s="199"/>
      <c r="G99" s="199"/>
      <c r="H99" s="200"/>
      <c r="I99" s="14">
        <v>1</v>
      </c>
      <c r="J99" s="14" t="s">
        <v>90</v>
      </c>
    </row>
    <row r="100" spans="2:10" ht="23.1" customHeight="1" thickBot="1" x14ac:dyDescent="0.3">
      <c r="B100" s="222"/>
      <c r="C100" s="198"/>
      <c r="D100" s="199"/>
      <c r="E100" s="199"/>
      <c r="F100" s="199"/>
      <c r="G100" s="199"/>
      <c r="H100" s="200"/>
      <c r="I100" s="14">
        <v>2</v>
      </c>
      <c r="J100" s="14" t="s">
        <v>53</v>
      </c>
    </row>
    <row r="101" spans="2:10" ht="23.1" customHeight="1" thickBot="1" x14ac:dyDescent="0.3">
      <c r="B101" s="223"/>
      <c r="C101" s="201"/>
      <c r="D101" s="202"/>
      <c r="E101" s="202"/>
      <c r="F101" s="202"/>
      <c r="G101" s="202"/>
      <c r="H101" s="203"/>
      <c r="I101" s="14">
        <v>3</v>
      </c>
      <c r="J101" s="14" t="s">
        <v>54</v>
      </c>
    </row>
    <row r="102" spans="2:10" ht="20.100000000000001" customHeight="1" thickBot="1" x14ac:dyDescent="0.3"/>
    <row r="103" spans="2:10" ht="27" customHeight="1" thickBot="1" x14ac:dyDescent="0.3">
      <c r="B103" s="13" t="s">
        <v>46</v>
      </c>
      <c r="C103" s="195"/>
      <c r="D103" s="196"/>
      <c r="E103" s="196"/>
      <c r="F103" s="196"/>
      <c r="G103" s="196"/>
      <c r="H103" s="197"/>
      <c r="I103" s="85" t="str">
        <f>IF(C103="","",LEN(C103)&amp;"/240　文字")</f>
        <v/>
      </c>
    </row>
    <row r="104" spans="2:10" ht="27" customHeight="1" thickBot="1" x14ac:dyDescent="0.3">
      <c r="B104" s="15" t="s">
        <v>35</v>
      </c>
      <c r="C104" s="198"/>
      <c r="D104" s="199"/>
      <c r="E104" s="199"/>
      <c r="F104" s="199"/>
      <c r="G104" s="199"/>
      <c r="H104" s="200"/>
      <c r="I104" s="83"/>
    </row>
    <row r="105" spans="2:10" ht="27" customHeight="1" thickBot="1" x14ac:dyDescent="0.3">
      <c r="B105" s="33" t="str">
        <f>IF(B106="","",VLOOKUP(B106,I106:J110,2,FALSE))</f>
        <v/>
      </c>
      <c r="C105" s="198"/>
      <c r="D105" s="199"/>
      <c r="E105" s="199"/>
      <c r="F105" s="199"/>
      <c r="G105" s="199"/>
      <c r="H105" s="200"/>
      <c r="I105" s="14"/>
    </row>
    <row r="106" spans="2:10" ht="23.1" customHeight="1" thickBot="1" x14ac:dyDescent="0.3">
      <c r="B106" s="221"/>
      <c r="C106" s="198"/>
      <c r="D106" s="199"/>
      <c r="E106" s="199"/>
      <c r="F106" s="199"/>
      <c r="G106" s="199"/>
      <c r="H106" s="200"/>
      <c r="I106" s="14">
        <v>1</v>
      </c>
      <c r="J106" s="14" t="s">
        <v>56</v>
      </c>
    </row>
    <row r="107" spans="2:10" ht="23.1" customHeight="1" thickBot="1" x14ac:dyDescent="0.3">
      <c r="B107" s="222"/>
      <c r="C107" s="198"/>
      <c r="D107" s="199"/>
      <c r="E107" s="199"/>
      <c r="F107" s="199"/>
      <c r="G107" s="199"/>
      <c r="H107" s="200"/>
      <c r="I107" s="14">
        <v>2</v>
      </c>
      <c r="J107" s="14" t="s">
        <v>57</v>
      </c>
    </row>
    <row r="108" spans="2:10" ht="23.1" customHeight="1" thickBot="1" x14ac:dyDescent="0.3">
      <c r="B108" s="222"/>
      <c r="C108" s="198"/>
      <c r="D108" s="199"/>
      <c r="E108" s="199"/>
      <c r="F108" s="199"/>
      <c r="G108" s="199"/>
      <c r="H108" s="200"/>
      <c r="I108" s="14">
        <v>3</v>
      </c>
      <c r="J108" s="14" t="s">
        <v>58</v>
      </c>
    </row>
    <row r="109" spans="2:10" ht="23.1" customHeight="1" thickBot="1" x14ac:dyDescent="0.3">
      <c r="B109" s="222"/>
      <c r="C109" s="198"/>
      <c r="D109" s="199"/>
      <c r="E109" s="199"/>
      <c r="F109" s="199"/>
      <c r="G109" s="199"/>
      <c r="H109" s="200"/>
      <c r="I109" s="14">
        <v>4</v>
      </c>
      <c r="J109" s="14" t="s">
        <v>59</v>
      </c>
    </row>
    <row r="110" spans="2:10" ht="23.1" customHeight="1" thickBot="1" x14ac:dyDescent="0.3">
      <c r="B110" s="223"/>
      <c r="C110" s="201"/>
      <c r="D110" s="202"/>
      <c r="E110" s="202"/>
      <c r="F110" s="202"/>
      <c r="G110" s="202"/>
      <c r="H110" s="203"/>
      <c r="I110" s="14">
        <v>5</v>
      </c>
      <c r="J110" s="14" t="s">
        <v>60</v>
      </c>
    </row>
    <row r="111" spans="2:10" ht="20.100000000000001" customHeight="1" thickBot="1" x14ac:dyDescent="0.3"/>
    <row r="112" spans="2:10" ht="27" customHeight="1" thickBot="1" x14ac:dyDescent="0.3">
      <c r="B112" s="13" t="s">
        <v>47</v>
      </c>
      <c r="C112" s="195"/>
      <c r="D112" s="196"/>
      <c r="E112" s="196"/>
      <c r="F112" s="196"/>
      <c r="G112" s="196"/>
      <c r="H112" s="197"/>
      <c r="I112" s="85" t="str">
        <f>IF(C112="","",LEN(C112)&amp;"/240　文字")</f>
        <v/>
      </c>
    </row>
    <row r="113" spans="2:10" ht="27" customHeight="1" thickBot="1" x14ac:dyDescent="0.3">
      <c r="B113" s="15" t="s">
        <v>36</v>
      </c>
      <c r="C113" s="198"/>
      <c r="D113" s="199"/>
      <c r="E113" s="199"/>
      <c r="F113" s="199"/>
      <c r="G113" s="199"/>
      <c r="H113" s="200"/>
      <c r="I113" s="83"/>
    </row>
    <row r="114" spans="2:10" ht="27" customHeight="1" thickBot="1" x14ac:dyDescent="0.3">
      <c r="B114" s="33" t="str">
        <f>IF(B115="","",VLOOKUP(B115,I115:J119,2,FALSE))</f>
        <v/>
      </c>
      <c r="C114" s="198"/>
      <c r="D114" s="199"/>
      <c r="E114" s="199"/>
      <c r="F114" s="199"/>
      <c r="G114" s="199"/>
      <c r="H114" s="200"/>
      <c r="I114" s="14"/>
    </row>
    <row r="115" spans="2:10" ht="23.1" customHeight="1" thickBot="1" x14ac:dyDescent="0.3">
      <c r="B115" s="221"/>
      <c r="C115" s="198"/>
      <c r="D115" s="199"/>
      <c r="E115" s="199"/>
      <c r="F115" s="199"/>
      <c r="G115" s="199"/>
      <c r="H115" s="200"/>
      <c r="I115" s="14">
        <v>1</v>
      </c>
      <c r="J115" s="14" t="s">
        <v>56</v>
      </c>
    </row>
    <row r="116" spans="2:10" ht="23.1" customHeight="1" thickBot="1" x14ac:dyDescent="0.3">
      <c r="B116" s="222"/>
      <c r="C116" s="198"/>
      <c r="D116" s="199"/>
      <c r="E116" s="199"/>
      <c r="F116" s="199"/>
      <c r="G116" s="199"/>
      <c r="H116" s="200"/>
      <c r="I116" s="14">
        <v>2</v>
      </c>
      <c r="J116" s="14" t="s">
        <v>61</v>
      </c>
    </row>
    <row r="117" spans="2:10" ht="23.1" customHeight="1" thickBot="1" x14ac:dyDescent="0.3">
      <c r="B117" s="222"/>
      <c r="C117" s="198"/>
      <c r="D117" s="199"/>
      <c r="E117" s="199"/>
      <c r="F117" s="199"/>
      <c r="G117" s="199"/>
      <c r="H117" s="200"/>
      <c r="I117" s="14">
        <v>3</v>
      </c>
      <c r="J117" s="14" t="s">
        <v>62</v>
      </c>
    </row>
    <row r="118" spans="2:10" ht="23.1" customHeight="1" thickBot="1" x14ac:dyDescent="0.3">
      <c r="B118" s="222"/>
      <c r="C118" s="198"/>
      <c r="D118" s="199"/>
      <c r="E118" s="199"/>
      <c r="F118" s="199"/>
      <c r="G118" s="199"/>
      <c r="H118" s="200"/>
      <c r="I118" s="14">
        <v>4</v>
      </c>
      <c r="J118" s="14" t="s">
        <v>63</v>
      </c>
    </row>
    <row r="119" spans="2:10" ht="23.1" customHeight="1" thickBot="1" x14ac:dyDescent="0.3">
      <c r="B119" s="223"/>
      <c r="C119" s="201"/>
      <c r="D119" s="202"/>
      <c r="E119" s="202"/>
      <c r="F119" s="202"/>
      <c r="G119" s="202"/>
      <c r="H119" s="203"/>
      <c r="I119" s="14">
        <v>5</v>
      </c>
      <c r="J119" s="14" t="s">
        <v>60</v>
      </c>
    </row>
  </sheetData>
  <sheetProtection selectLockedCells="1"/>
  <mergeCells count="28">
    <mergeCell ref="B115:B119"/>
    <mergeCell ref="B52:B56"/>
    <mergeCell ref="B61:B65"/>
    <mergeCell ref="B70:B74"/>
    <mergeCell ref="B79:B83"/>
    <mergeCell ref="B88:B92"/>
    <mergeCell ref="B97:B101"/>
    <mergeCell ref="B25:B29"/>
    <mergeCell ref="B34:B38"/>
    <mergeCell ref="B43:B47"/>
    <mergeCell ref="B106:B110"/>
    <mergeCell ref="C1:H1"/>
    <mergeCell ref="E2:F3"/>
    <mergeCell ref="C2:D3"/>
    <mergeCell ref="G2:H3"/>
    <mergeCell ref="C112:H119"/>
    <mergeCell ref="C4:H11"/>
    <mergeCell ref="C13:H20"/>
    <mergeCell ref="C22:H29"/>
    <mergeCell ref="C31:H38"/>
    <mergeCell ref="C40:H47"/>
    <mergeCell ref="C49:H56"/>
    <mergeCell ref="C58:H65"/>
    <mergeCell ref="C67:H74"/>
    <mergeCell ref="C76:H83"/>
    <mergeCell ref="C85:H92"/>
    <mergeCell ref="C94:H101"/>
    <mergeCell ref="C103:H110"/>
  </mergeCells>
  <phoneticPr fontId="1"/>
  <conditionalFormatting sqref="B25:B29 B34:B38 B43:B47 B52:B56 B61:B65 B70:B74 B79:B83 B88:B92 B97:B101 B106:B110 B115:B119">
    <cfRule type="cellIs" dxfId="23" priority="1" operator="lessThan">
      <formula>1</formula>
    </cfRule>
  </conditionalFormatting>
  <dataValidations count="4">
    <dataValidation type="whole" imeMode="halfAlpha" allowBlank="1" showInputMessage="1" showErrorMessage="1" sqref="B97:B101 B25:B29 B34:B38 B52:B56 B61:B65 B70:B74 B79:B83" xr:uid="{00000000-0002-0000-0100-000000000000}">
      <formula1>1</formula1>
      <formula2>3</formula2>
    </dataValidation>
    <dataValidation type="whole" imeMode="halfAlpha" allowBlank="1" showInputMessage="1" showErrorMessage="1" sqref="B88:B92 B43:B47" xr:uid="{00000000-0002-0000-0100-000001000000}">
      <formula1>1</formula1>
      <formula2>4</formula2>
    </dataValidation>
    <dataValidation type="whole" imeMode="halfAlpha" allowBlank="1" showInputMessage="1" showErrorMessage="1" sqref="B115:B119 B106:B110" xr:uid="{00000000-0002-0000-0100-000002000000}">
      <formula1>1</formula1>
      <formula2>5</formula2>
    </dataValidation>
    <dataValidation type="textLength" imeMode="hiragana" operator="lessThanOrEqual" allowBlank="1" showInputMessage="1" showErrorMessage="1" sqref="C4:H11 C13:H20 C22:H29 C31:H38 C40:H47 C49:H56 C58:H65 C67:H74 C76:H83 C85:H92 C94:H101 C103:H110 C112:H119" xr:uid="{00000000-0002-0000-0100-000006000000}">
      <formula1>240</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1</xdr:col>
                    <xdr:colOff>28575</xdr:colOff>
                    <xdr:row>6</xdr:row>
                    <xdr:rowOff>28575</xdr:rowOff>
                  </from>
                  <to>
                    <xdr:col>1</xdr:col>
                    <xdr:colOff>519113</xdr:colOff>
                    <xdr:row>6</xdr:row>
                    <xdr:rowOff>200025</xdr:rowOff>
                  </to>
                </anchor>
              </controlPr>
            </control>
          </mc:Choice>
        </mc:AlternateContent>
        <mc:AlternateContent xmlns:mc="http://schemas.openxmlformats.org/markup-compatibility/2006">
          <mc:Choice Requires="x14">
            <control shapeId="3078" r:id="rId5" name="Check Box 6">
              <controlPr defaultSize="0" autoFill="0" autoLine="0" autoPict="0">
                <anchor moveWithCells="1">
                  <from>
                    <xdr:col>1</xdr:col>
                    <xdr:colOff>28575</xdr:colOff>
                    <xdr:row>7</xdr:row>
                    <xdr:rowOff>28575</xdr:rowOff>
                  </from>
                  <to>
                    <xdr:col>1</xdr:col>
                    <xdr:colOff>519113</xdr:colOff>
                    <xdr:row>7</xdr:row>
                    <xdr:rowOff>200025</xdr:rowOff>
                  </to>
                </anchor>
              </controlPr>
            </control>
          </mc:Choice>
        </mc:AlternateContent>
        <mc:AlternateContent xmlns:mc="http://schemas.openxmlformats.org/markup-compatibility/2006">
          <mc:Choice Requires="x14">
            <control shapeId="3079" r:id="rId6" name="Check Box 7">
              <controlPr defaultSize="0" autoFill="0" autoLine="0" autoPict="0">
                <anchor moveWithCells="1">
                  <from>
                    <xdr:col>1</xdr:col>
                    <xdr:colOff>28575</xdr:colOff>
                    <xdr:row>8</xdr:row>
                    <xdr:rowOff>28575</xdr:rowOff>
                  </from>
                  <to>
                    <xdr:col>1</xdr:col>
                    <xdr:colOff>519113</xdr:colOff>
                    <xdr:row>8</xdr:row>
                    <xdr:rowOff>200025</xdr:rowOff>
                  </to>
                </anchor>
              </controlPr>
            </control>
          </mc:Choice>
        </mc:AlternateContent>
        <mc:AlternateContent xmlns:mc="http://schemas.openxmlformats.org/markup-compatibility/2006">
          <mc:Choice Requires="x14">
            <control shapeId="3080" r:id="rId7" name="Check Box 8">
              <controlPr defaultSize="0" autoFill="0" autoLine="0" autoPict="0">
                <anchor moveWithCells="1">
                  <from>
                    <xdr:col>1</xdr:col>
                    <xdr:colOff>28575</xdr:colOff>
                    <xdr:row>9</xdr:row>
                    <xdr:rowOff>38100</xdr:rowOff>
                  </from>
                  <to>
                    <xdr:col>1</xdr:col>
                    <xdr:colOff>519113</xdr:colOff>
                    <xdr:row>9</xdr:row>
                    <xdr:rowOff>214313</xdr:rowOff>
                  </to>
                </anchor>
              </controlPr>
            </control>
          </mc:Choice>
        </mc:AlternateContent>
        <mc:AlternateContent xmlns:mc="http://schemas.openxmlformats.org/markup-compatibility/2006">
          <mc:Choice Requires="x14">
            <control shapeId="3081" r:id="rId8" name="Check Box 9">
              <controlPr defaultSize="0" autoFill="0" autoLine="0" autoPict="0">
                <anchor moveWithCells="1">
                  <from>
                    <xdr:col>1</xdr:col>
                    <xdr:colOff>28575</xdr:colOff>
                    <xdr:row>10</xdr:row>
                    <xdr:rowOff>28575</xdr:rowOff>
                  </from>
                  <to>
                    <xdr:col>1</xdr:col>
                    <xdr:colOff>519113</xdr:colOff>
                    <xdr:row>10</xdr:row>
                    <xdr:rowOff>200025</xdr:rowOff>
                  </to>
                </anchor>
              </controlPr>
            </control>
          </mc:Choice>
        </mc:AlternateContent>
        <mc:AlternateContent xmlns:mc="http://schemas.openxmlformats.org/markup-compatibility/2006">
          <mc:Choice Requires="x14">
            <control shapeId="3082" r:id="rId9" name="Check Box 10">
              <controlPr defaultSize="0" autoFill="0" autoLine="0" autoPict="0">
                <anchor moveWithCells="1">
                  <from>
                    <xdr:col>1</xdr:col>
                    <xdr:colOff>28575</xdr:colOff>
                    <xdr:row>19</xdr:row>
                    <xdr:rowOff>28575</xdr:rowOff>
                  </from>
                  <to>
                    <xdr:col>1</xdr:col>
                    <xdr:colOff>519113</xdr:colOff>
                    <xdr:row>19</xdr:row>
                    <xdr:rowOff>200025</xdr:rowOff>
                  </to>
                </anchor>
              </controlPr>
            </control>
          </mc:Choice>
        </mc:AlternateContent>
        <mc:AlternateContent xmlns:mc="http://schemas.openxmlformats.org/markup-compatibility/2006">
          <mc:Choice Requires="x14">
            <control shapeId="3083" r:id="rId10" name="Check Box 11">
              <controlPr defaultSize="0" autoFill="0" autoLine="0" autoPict="0">
                <anchor moveWithCells="1">
                  <from>
                    <xdr:col>1</xdr:col>
                    <xdr:colOff>28575</xdr:colOff>
                    <xdr:row>18</xdr:row>
                    <xdr:rowOff>28575</xdr:rowOff>
                  </from>
                  <to>
                    <xdr:col>1</xdr:col>
                    <xdr:colOff>519113</xdr:colOff>
                    <xdr:row>18</xdr:row>
                    <xdr:rowOff>200025</xdr:rowOff>
                  </to>
                </anchor>
              </controlPr>
            </control>
          </mc:Choice>
        </mc:AlternateContent>
        <mc:AlternateContent xmlns:mc="http://schemas.openxmlformats.org/markup-compatibility/2006">
          <mc:Choice Requires="x14">
            <control shapeId="3084" r:id="rId11" name="Check Box 12">
              <controlPr defaultSize="0" autoFill="0" autoLine="0" autoPict="0">
                <anchor moveWithCells="1">
                  <from>
                    <xdr:col>1</xdr:col>
                    <xdr:colOff>28575</xdr:colOff>
                    <xdr:row>17</xdr:row>
                    <xdr:rowOff>28575</xdr:rowOff>
                  </from>
                  <to>
                    <xdr:col>1</xdr:col>
                    <xdr:colOff>519113</xdr:colOff>
                    <xdr:row>17</xdr:row>
                    <xdr:rowOff>200025</xdr:rowOff>
                  </to>
                </anchor>
              </controlPr>
            </control>
          </mc:Choice>
        </mc:AlternateContent>
        <mc:AlternateContent xmlns:mc="http://schemas.openxmlformats.org/markup-compatibility/2006">
          <mc:Choice Requires="x14">
            <control shapeId="3085" r:id="rId12" name="Check Box 13">
              <controlPr defaultSize="0" autoFill="0" autoLine="0" autoPict="0">
                <anchor moveWithCells="1">
                  <from>
                    <xdr:col>1</xdr:col>
                    <xdr:colOff>28575</xdr:colOff>
                    <xdr:row>16</xdr:row>
                    <xdr:rowOff>38100</xdr:rowOff>
                  </from>
                  <to>
                    <xdr:col>1</xdr:col>
                    <xdr:colOff>519113</xdr:colOff>
                    <xdr:row>16</xdr:row>
                    <xdr:rowOff>214313</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66"/>
  </sheetPr>
  <dimension ref="B1:M111"/>
  <sheetViews>
    <sheetView workbookViewId="0">
      <pane ySplit="3" topLeftCell="A4" activePane="bottomLeft" state="frozen"/>
      <selection pane="bottomLeft" activeCell="D116" sqref="D116"/>
    </sheetView>
  </sheetViews>
  <sheetFormatPr defaultColWidth="9" defaultRowHeight="12.75" x14ac:dyDescent="0.25"/>
  <cols>
    <col min="1" max="1" width="2" style="11" customWidth="1"/>
    <col min="2" max="2" width="10.6640625" style="11" customWidth="1"/>
    <col min="3" max="8" width="9" style="11"/>
    <col min="9" max="9" width="2.46484375" style="10" bestFit="1" customWidth="1"/>
    <col min="10" max="13" width="9" style="10"/>
    <col min="14" max="16384" width="9" style="11"/>
  </cols>
  <sheetData>
    <row r="1" spans="2:10" ht="21" x14ac:dyDescent="0.25">
      <c r="B1" s="25"/>
      <c r="C1" s="224" t="s">
        <v>64</v>
      </c>
      <c r="D1" s="224"/>
      <c r="E1" s="224"/>
      <c r="F1" s="224"/>
      <c r="G1" s="224"/>
      <c r="H1" s="224"/>
    </row>
    <row r="2" spans="2:10" x14ac:dyDescent="0.25">
      <c r="C2" s="227">
        <f>基本情報!$B$2</f>
        <v>0</v>
      </c>
      <c r="D2" s="227"/>
      <c r="E2" s="225">
        <f>基本情報!$B$3</f>
        <v>0</v>
      </c>
      <c r="F2" s="225"/>
      <c r="G2" s="229" t="str">
        <f>IF(計算シート!$M$78=0,"",計算シート!$M$78&amp;"/48　特記入力済み")</f>
        <v/>
      </c>
      <c r="H2" s="229"/>
    </row>
    <row r="3" spans="2:10" ht="13.15" thickBot="1" x14ac:dyDescent="0.3">
      <c r="B3" s="12"/>
      <c r="C3" s="228"/>
      <c r="D3" s="228"/>
      <c r="E3" s="226"/>
      <c r="F3" s="226"/>
      <c r="G3" s="230"/>
      <c r="H3" s="230"/>
    </row>
    <row r="4" spans="2:10" ht="27" customHeight="1" thickBot="1" x14ac:dyDescent="0.3">
      <c r="B4" s="13" t="s">
        <v>65</v>
      </c>
      <c r="C4" s="195"/>
      <c r="D4" s="196"/>
      <c r="E4" s="196"/>
      <c r="F4" s="196"/>
      <c r="G4" s="196"/>
      <c r="H4" s="197"/>
      <c r="I4" s="85" t="str">
        <f>IF(C4="","",LEN(C4)&amp;"/240　文字")</f>
        <v/>
      </c>
    </row>
    <row r="5" spans="2:10" ht="27" customHeight="1" thickBot="1" x14ac:dyDescent="0.3">
      <c r="B5" s="15" t="s">
        <v>77</v>
      </c>
      <c r="C5" s="198"/>
      <c r="D5" s="199"/>
      <c r="E5" s="199"/>
      <c r="F5" s="199"/>
      <c r="G5" s="199"/>
      <c r="H5" s="200"/>
      <c r="I5" s="14"/>
    </row>
    <row r="6" spans="2:10" ht="27" customHeight="1" thickBot="1" x14ac:dyDescent="0.3">
      <c r="B6" s="33" t="str">
        <f>IF(B7="","",VLOOKUP(B7,I8:J11,2,FALSE))</f>
        <v/>
      </c>
      <c r="C6" s="198"/>
      <c r="D6" s="199"/>
      <c r="E6" s="199"/>
      <c r="F6" s="199"/>
      <c r="G6" s="199"/>
      <c r="H6" s="200"/>
      <c r="I6" s="16"/>
      <c r="J6" s="17"/>
    </row>
    <row r="7" spans="2:10" ht="23.1" customHeight="1" thickBot="1" x14ac:dyDescent="0.3">
      <c r="B7" s="221"/>
      <c r="C7" s="198"/>
      <c r="D7" s="199"/>
      <c r="E7" s="199"/>
      <c r="F7" s="199"/>
      <c r="G7" s="199"/>
      <c r="H7" s="200"/>
      <c r="I7" s="231"/>
      <c r="J7" s="231"/>
    </row>
    <row r="8" spans="2:10" ht="23.1" customHeight="1" thickBot="1" x14ac:dyDescent="0.3">
      <c r="B8" s="222"/>
      <c r="C8" s="198"/>
      <c r="D8" s="199"/>
      <c r="E8" s="199"/>
      <c r="F8" s="199"/>
      <c r="G8" s="199"/>
      <c r="H8" s="200"/>
      <c r="I8" s="14">
        <v>1</v>
      </c>
      <c r="J8" s="14" t="s">
        <v>90</v>
      </c>
    </row>
    <row r="9" spans="2:10" ht="23.1" customHeight="1" thickBot="1" x14ac:dyDescent="0.3">
      <c r="B9" s="222"/>
      <c r="C9" s="198"/>
      <c r="D9" s="199"/>
      <c r="E9" s="199"/>
      <c r="F9" s="199"/>
      <c r="G9" s="199"/>
      <c r="H9" s="200"/>
      <c r="I9" s="14">
        <v>2</v>
      </c>
      <c r="J9" s="14" t="s">
        <v>89</v>
      </c>
    </row>
    <row r="10" spans="2:10" ht="23.1" customHeight="1" thickBot="1" x14ac:dyDescent="0.3">
      <c r="B10" s="222"/>
      <c r="C10" s="198"/>
      <c r="D10" s="199"/>
      <c r="E10" s="199"/>
      <c r="F10" s="199"/>
      <c r="G10" s="199"/>
      <c r="H10" s="200"/>
      <c r="I10" s="14">
        <v>3</v>
      </c>
      <c r="J10" s="14" t="s">
        <v>53</v>
      </c>
    </row>
    <row r="11" spans="2:10" ht="23.1" customHeight="1" thickBot="1" x14ac:dyDescent="0.3">
      <c r="B11" s="223"/>
      <c r="C11" s="201"/>
      <c r="D11" s="202"/>
      <c r="E11" s="202"/>
      <c r="F11" s="202"/>
      <c r="G11" s="202"/>
      <c r="H11" s="203"/>
      <c r="I11" s="14">
        <v>4</v>
      </c>
      <c r="J11" s="14" t="s">
        <v>54</v>
      </c>
    </row>
    <row r="12" spans="2:10" ht="20.100000000000001" customHeight="1" thickBot="1" x14ac:dyDescent="0.3">
      <c r="I12" s="17"/>
      <c r="J12" s="17"/>
    </row>
    <row r="13" spans="2:10" ht="27" customHeight="1" thickBot="1" x14ac:dyDescent="0.3">
      <c r="B13" s="13" t="s">
        <v>66</v>
      </c>
      <c r="C13" s="195"/>
      <c r="D13" s="196"/>
      <c r="E13" s="196"/>
      <c r="F13" s="196"/>
      <c r="G13" s="196"/>
      <c r="H13" s="197"/>
      <c r="I13" s="85" t="str">
        <f>IF(C13="","",LEN(C13)&amp;"/240　文字")</f>
        <v/>
      </c>
      <c r="J13" s="17"/>
    </row>
    <row r="14" spans="2:10" ht="27" customHeight="1" thickBot="1" x14ac:dyDescent="0.3">
      <c r="B14" s="15" t="s">
        <v>78</v>
      </c>
      <c r="C14" s="198"/>
      <c r="D14" s="199"/>
      <c r="E14" s="199"/>
      <c r="F14" s="199"/>
      <c r="G14" s="199"/>
      <c r="H14" s="200"/>
      <c r="I14" s="16"/>
      <c r="J14" s="17"/>
    </row>
    <row r="15" spans="2:10" ht="27" customHeight="1" thickBot="1" x14ac:dyDescent="0.3">
      <c r="B15" s="33" t="str">
        <f>IF(B16="","",VLOOKUP(B16,I17:J20,2,FALSE))</f>
        <v/>
      </c>
      <c r="C15" s="198"/>
      <c r="D15" s="199"/>
      <c r="E15" s="199"/>
      <c r="F15" s="199"/>
      <c r="G15" s="199"/>
      <c r="H15" s="200"/>
      <c r="I15" s="16"/>
      <c r="J15" s="17"/>
    </row>
    <row r="16" spans="2:10" ht="23.1" customHeight="1" thickBot="1" x14ac:dyDescent="0.3">
      <c r="B16" s="221"/>
      <c r="C16" s="198"/>
      <c r="D16" s="199"/>
      <c r="E16" s="199"/>
      <c r="F16" s="199"/>
      <c r="G16" s="199"/>
      <c r="H16" s="200"/>
      <c r="I16" s="16"/>
      <c r="J16" s="17"/>
    </row>
    <row r="17" spans="2:10" ht="23.1" customHeight="1" thickBot="1" x14ac:dyDescent="0.3">
      <c r="B17" s="222"/>
      <c r="C17" s="198"/>
      <c r="D17" s="199"/>
      <c r="E17" s="199"/>
      <c r="F17" s="199"/>
      <c r="G17" s="199"/>
      <c r="H17" s="200"/>
      <c r="I17" s="14">
        <v>1</v>
      </c>
      <c r="J17" s="14" t="s">
        <v>90</v>
      </c>
    </row>
    <row r="18" spans="2:10" ht="23.1" customHeight="1" thickBot="1" x14ac:dyDescent="0.3">
      <c r="B18" s="222"/>
      <c r="C18" s="198"/>
      <c r="D18" s="199"/>
      <c r="E18" s="199"/>
      <c r="F18" s="199"/>
      <c r="G18" s="199"/>
      <c r="H18" s="200"/>
      <c r="I18" s="14">
        <v>2</v>
      </c>
      <c r="J18" s="14" t="s">
        <v>89</v>
      </c>
    </row>
    <row r="19" spans="2:10" ht="23.1" customHeight="1" thickBot="1" x14ac:dyDescent="0.3">
      <c r="B19" s="222"/>
      <c r="C19" s="198"/>
      <c r="D19" s="199"/>
      <c r="E19" s="199"/>
      <c r="F19" s="199"/>
      <c r="G19" s="199"/>
      <c r="H19" s="200"/>
      <c r="I19" s="14">
        <v>3</v>
      </c>
      <c r="J19" s="14" t="s">
        <v>53</v>
      </c>
    </row>
    <row r="20" spans="2:10" ht="23.1" customHeight="1" thickBot="1" x14ac:dyDescent="0.3">
      <c r="B20" s="223"/>
      <c r="C20" s="201"/>
      <c r="D20" s="202"/>
      <c r="E20" s="202"/>
      <c r="F20" s="202"/>
      <c r="G20" s="202"/>
      <c r="H20" s="203"/>
      <c r="I20" s="14">
        <v>4</v>
      </c>
      <c r="J20" s="14" t="s">
        <v>54</v>
      </c>
    </row>
    <row r="21" spans="2:10" ht="20.100000000000001" customHeight="1" thickBot="1" x14ac:dyDescent="0.3"/>
    <row r="22" spans="2:10" ht="27" customHeight="1" thickBot="1" x14ac:dyDescent="0.3">
      <c r="B22" s="13" t="s">
        <v>67</v>
      </c>
      <c r="C22" s="195"/>
      <c r="D22" s="196"/>
      <c r="E22" s="196"/>
      <c r="F22" s="196"/>
      <c r="G22" s="196"/>
      <c r="H22" s="197"/>
      <c r="I22" s="85" t="str">
        <f>IF(C22="","",LEN(C22)&amp;"/240　文字")</f>
        <v/>
      </c>
    </row>
    <row r="23" spans="2:10" ht="27" customHeight="1" thickBot="1" x14ac:dyDescent="0.3">
      <c r="B23" s="15" t="s">
        <v>79</v>
      </c>
      <c r="C23" s="198"/>
      <c r="D23" s="199"/>
      <c r="E23" s="199"/>
      <c r="F23" s="199"/>
      <c r="G23" s="199"/>
      <c r="H23" s="200"/>
      <c r="I23" s="14"/>
    </row>
    <row r="24" spans="2:10" ht="27" customHeight="1" thickBot="1" x14ac:dyDescent="0.3">
      <c r="B24" s="33" t="str">
        <f>IF(B25="","",VLOOKUP(B25,I27:J29,2,FALSE))</f>
        <v/>
      </c>
      <c r="C24" s="198"/>
      <c r="D24" s="199"/>
      <c r="E24" s="199"/>
      <c r="F24" s="199"/>
      <c r="G24" s="199"/>
      <c r="H24" s="200"/>
      <c r="I24" s="14"/>
    </row>
    <row r="25" spans="2:10" ht="23.1" customHeight="1" thickBot="1" x14ac:dyDescent="0.3">
      <c r="B25" s="221"/>
      <c r="C25" s="198"/>
      <c r="D25" s="199"/>
      <c r="E25" s="199"/>
      <c r="F25" s="199"/>
      <c r="G25" s="199"/>
      <c r="H25" s="200"/>
    </row>
    <row r="26" spans="2:10" ht="23.1" customHeight="1" thickBot="1" x14ac:dyDescent="0.3">
      <c r="B26" s="222"/>
      <c r="C26" s="198"/>
      <c r="D26" s="199"/>
      <c r="E26" s="199"/>
      <c r="F26" s="199"/>
      <c r="G26" s="199"/>
      <c r="H26" s="200"/>
    </row>
    <row r="27" spans="2:10" ht="23.1" customHeight="1" thickBot="1" x14ac:dyDescent="0.3">
      <c r="B27" s="222"/>
      <c r="C27" s="198"/>
      <c r="D27" s="199"/>
      <c r="E27" s="199"/>
      <c r="F27" s="199"/>
      <c r="G27" s="199"/>
      <c r="H27" s="200"/>
      <c r="I27" s="14">
        <v>1</v>
      </c>
      <c r="J27" s="14" t="s">
        <v>49</v>
      </c>
    </row>
    <row r="28" spans="2:10" ht="23.1" customHeight="1" thickBot="1" x14ac:dyDescent="0.3">
      <c r="B28" s="222"/>
      <c r="C28" s="198"/>
      <c r="D28" s="199"/>
      <c r="E28" s="199"/>
      <c r="F28" s="199"/>
      <c r="G28" s="199"/>
      <c r="H28" s="200"/>
      <c r="I28" s="14">
        <v>2</v>
      </c>
      <c r="J28" s="14" t="s">
        <v>89</v>
      </c>
    </row>
    <row r="29" spans="2:10" ht="23.1" customHeight="1" thickBot="1" x14ac:dyDescent="0.3">
      <c r="B29" s="223"/>
      <c r="C29" s="201"/>
      <c r="D29" s="202"/>
      <c r="E29" s="202"/>
      <c r="F29" s="202"/>
      <c r="G29" s="202"/>
      <c r="H29" s="203"/>
      <c r="I29" s="14">
        <v>3</v>
      </c>
      <c r="J29" s="14" t="s">
        <v>51</v>
      </c>
    </row>
    <row r="30" spans="2:10" ht="20.100000000000001" customHeight="1" thickBot="1" x14ac:dyDescent="0.3"/>
    <row r="31" spans="2:10" ht="27" customHeight="1" thickBot="1" x14ac:dyDescent="0.3">
      <c r="B31" s="13" t="s">
        <v>68</v>
      </c>
      <c r="C31" s="195"/>
      <c r="D31" s="196"/>
      <c r="E31" s="196"/>
      <c r="F31" s="196"/>
      <c r="G31" s="196"/>
      <c r="H31" s="197"/>
      <c r="I31" s="85" t="str">
        <f>IF(C31="","",LEN(C31)&amp;"/240　文字")</f>
        <v/>
      </c>
    </row>
    <row r="32" spans="2:10" ht="27" customHeight="1" thickBot="1" x14ac:dyDescent="0.3">
      <c r="B32" s="15" t="s">
        <v>80</v>
      </c>
      <c r="C32" s="198"/>
      <c r="D32" s="199"/>
      <c r="E32" s="199"/>
      <c r="F32" s="199"/>
      <c r="G32" s="199"/>
      <c r="H32" s="200"/>
      <c r="I32" s="14"/>
    </row>
    <row r="33" spans="2:10" ht="27" customHeight="1" thickBot="1" x14ac:dyDescent="0.3">
      <c r="B33" s="33" t="str">
        <f>IF(B34="","",VLOOKUP(B34,I35:J38,2,FALSE))</f>
        <v/>
      </c>
      <c r="C33" s="198"/>
      <c r="D33" s="199"/>
      <c r="E33" s="199"/>
      <c r="F33" s="199"/>
      <c r="G33" s="199"/>
      <c r="H33" s="200"/>
      <c r="I33" s="14"/>
    </row>
    <row r="34" spans="2:10" ht="23.1" customHeight="1" thickBot="1" x14ac:dyDescent="0.3">
      <c r="B34" s="221"/>
      <c r="C34" s="198"/>
      <c r="D34" s="199"/>
      <c r="E34" s="199"/>
      <c r="F34" s="199"/>
      <c r="G34" s="199"/>
      <c r="H34" s="200"/>
      <c r="I34" s="14"/>
    </row>
    <row r="35" spans="2:10" ht="23.1" customHeight="1" thickBot="1" x14ac:dyDescent="0.3">
      <c r="B35" s="222"/>
      <c r="C35" s="198"/>
      <c r="D35" s="199"/>
      <c r="E35" s="199"/>
      <c r="F35" s="199"/>
      <c r="G35" s="199"/>
      <c r="H35" s="200"/>
      <c r="I35" s="14">
        <v>1</v>
      </c>
      <c r="J35" s="14" t="s">
        <v>90</v>
      </c>
    </row>
    <row r="36" spans="2:10" ht="23.1" customHeight="1" thickBot="1" x14ac:dyDescent="0.3">
      <c r="B36" s="222"/>
      <c r="C36" s="198"/>
      <c r="D36" s="199"/>
      <c r="E36" s="199"/>
      <c r="F36" s="199"/>
      <c r="G36" s="199"/>
      <c r="H36" s="200"/>
      <c r="I36" s="14">
        <v>2</v>
      </c>
      <c r="J36" s="14" t="s">
        <v>89</v>
      </c>
    </row>
    <row r="37" spans="2:10" ht="23.1" customHeight="1" thickBot="1" x14ac:dyDescent="0.3">
      <c r="B37" s="222"/>
      <c r="C37" s="198"/>
      <c r="D37" s="199"/>
      <c r="E37" s="199"/>
      <c r="F37" s="199"/>
      <c r="G37" s="199"/>
      <c r="H37" s="200"/>
      <c r="I37" s="14">
        <v>3</v>
      </c>
      <c r="J37" s="14" t="s">
        <v>53</v>
      </c>
    </row>
    <row r="38" spans="2:10" ht="23.1" customHeight="1" thickBot="1" x14ac:dyDescent="0.3">
      <c r="B38" s="223"/>
      <c r="C38" s="201"/>
      <c r="D38" s="202"/>
      <c r="E38" s="202"/>
      <c r="F38" s="202"/>
      <c r="G38" s="202"/>
      <c r="H38" s="203"/>
      <c r="I38" s="14">
        <v>4</v>
      </c>
      <c r="J38" s="14" t="s">
        <v>54</v>
      </c>
    </row>
    <row r="39" spans="2:10" ht="20.100000000000001" customHeight="1" thickBot="1" x14ac:dyDescent="0.3"/>
    <row r="40" spans="2:10" ht="27" customHeight="1" thickBot="1" x14ac:dyDescent="0.3">
      <c r="B40" s="13" t="s">
        <v>69</v>
      </c>
      <c r="C40" s="195"/>
      <c r="D40" s="196"/>
      <c r="E40" s="196"/>
      <c r="F40" s="196"/>
      <c r="G40" s="196"/>
      <c r="H40" s="197"/>
      <c r="I40" s="85" t="str">
        <f>IF(C40="","",LEN(C40)&amp;"/240　文字")</f>
        <v/>
      </c>
    </row>
    <row r="41" spans="2:10" ht="27" customHeight="1" thickBot="1" x14ac:dyDescent="0.3">
      <c r="B41" s="15" t="s">
        <v>81</v>
      </c>
      <c r="C41" s="198"/>
      <c r="D41" s="199"/>
      <c r="E41" s="199"/>
      <c r="F41" s="199"/>
      <c r="G41" s="199"/>
      <c r="H41" s="200"/>
      <c r="I41" s="14"/>
    </row>
    <row r="42" spans="2:10" ht="27" customHeight="1" thickBot="1" x14ac:dyDescent="0.3">
      <c r="B42" s="33" t="str">
        <f>IF(B43="","",VLOOKUP(B43,I44:J47,2,FALSE))</f>
        <v/>
      </c>
      <c r="C42" s="198"/>
      <c r="D42" s="199"/>
      <c r="E42" s="199"/>
      <c r="F42" s="199"/>
      <c r="G42" s="199"/>
      <c r="H42" s="200"/>
      <c r="I42" s="14"/>
    </row>
    <row r="43" spans="2:10" ht="23.1" customHeight="1" thickBot="1" x14ac:dyDescent="0.3">
      <c r="B43" s="221"/>
      <c r="C43" s="198"/>
      <c r="D43" s="199"/>
      <c r="E43" s="199"/>
      <c r="F43" s="199"/>
      <c r="G43" s="199"/>
      <c r="H43" s="200"/>
      <c r="I43" s="14"/>
    </row>
    <row r="44" spans="2:10" ht="23.1" customHeight="1" thickBot="1" x14ac:dyDescent="0.3">
      <c r="B44" s="222"/>
      <c r="C44" s="198"/>
      <c r="D44" s="199"/>
      <c r="E44" s="199"/>
      <c r="F44" s="199"/>
      <c r="G44" s="199"/>
      <c r="H44" s="200"/>
      <c r="I44" s="14">
        <v>1</v>
      </c>
      <c r="J44" s="14" t="s">
        <v>90</v>
      </c>
    </row>
    <row r="45" spans="2:10" ht="23.1" customHeight="1" thickBot="1" x14ac:dyDescent="0.3">
      <c r="B45" s="222"/>
      <c r="C45" s="198"/>
      <c r="D45" s="199"/>
      <c r="E45" s="199"/>
      <c r="F45" s="199"/>
      <c r="G45" s="199"/>
      <c r="H45" s="200"/>
      <c r="I45" s="14">
        <v>2</v>
      </c>
      <c r="J45" s="14" t="s">
        <v>89</v>
      </c>
    </row>
    <row r="46" spans="2:10" ht="23.1" customHeight="1" thickBot="1" x14ac:dyDescent="0.3">
      <c r="B46" s="222"/>
      <c r="C46" s="198"/>
      <c r="D46" s="199"/>
      <c r="E46" s="199"/>
      <c r="F46" s="199"/>
      <c r="G46" s="199"/>
      <c r="H46" s="200"/>
      <c r="I46" s="14">
        <v>3</v>
      </c>
      <c r="J46" s="14" t="s">
        <v>53</v>
      </c>
    </row>
    <row r="47" spans="2:10" ht="23.1" customHeight="1" thickBot="1" x14ac:dyDescent="0.3">
      <c r="B47" s="223"/>
      <c r="C47" s="201"/>
      <c r="D47" s="202"/>
      <c r="E47" s="202"/>
      <c r="F47" s="202"/>
      <c r="G47" s="202"/>
      <c r="H47" s="203"/>
      <c r="I47" s="14">
        <v>4</v>
      </c>
      <c r="J47" s="14" t="s">
        <v>54</v>
      </c>
    </row>
    <row r="48" spans="2:10" ht="20.100000000000001" customHeight="1" thickBot="1" x14ac:dyDescent="0.3"/>
    <row r="49" spans="2:10" ht="27" customHeight="1" thickBot="1" x14ac:dyDescent="0.3">
      <c r="B49" s="13" t="s">
        <v>70</v>
      </c>
      <c r="C49" s="195"/>
      <c r="D49" s="196"/>
      <c r="E49" s="196"/>
      <c r="F49" s="196"/>
      <c r="G49" s="196"/>
      <c r="H49" s="197"/>
      <c r="I49" s="85" t="str">
        <f>IF(C49="","",LEN(C49)&amp;"/240　文字")</f>
        <v/>
      </c>
    </row>
    <row r="50" spans="2:10" ht="27" customHeight="1" thickBot="1" x14ac:dyDescent="0.3">
      <c r="B50" s="24" t="s">
        <v>82</v>
      </c>
      <c r="C50" s="198"/>
      <c r="D50" s="199"/>
      <c r="E50" s="199"/>
      <c r="F50" s="199"/>
      <c r="G50" s="199"/>
      <c r="H50" s="200"/>
      <c r="I50" s="14"/>
    </row>
    <row r="51" spans="2:10" ht="27" customHeight="1" thickBot="1" x14ac:dyDescent="0.3">
      <c r="B51" s="33" t="str">
        <f>IF(B52="","",VLOOKUP(B52,I53:J56,2,FALSE))</f>
        <v/>
      </c>
      <c r="C51" s="198"/>
      <c r="D51" s="199"/>
      <c r="E51" s="199"/>
      <c r="F51" s="199"/>
      <c r="G51" s="199"/>
      <c r="H51" s="200"/>
      <c r="I51" s="14"/>
    </row>
    <row r="52" spans="2:10" ht="23.1" customHeight="1" thickBot="1" x14ac:dyDescent="0.3">
      <c r="B52" s="221"/>
      <c r="C52" s="198"/>
      <c r="D52" s="199"/>
      <c r="E52" s="199"/>
      <c r="F52" s="199"/>
      <c r="G52" s="199"/>
      <c r="H52" s="200"/>
      <c r="I52" s="14"/>
    </row>
    <row r="53" spans="2:10" ht="23.1" customHeight="1" thickBot="1" x14ac:dyDescent="0.3">
      <c r="B53" s="222"/>
      <c r="C53" s="198"/>
      <c r="D53" s="199"/>
      <c r="E53" s="199"/>
      <c r="F53" s="199"/>
      <c r="G53" s="199"/>
      <c r="H53" s="200"/>
      <c r="I53" s="14">
        <v>1</v>
      </c>
      <c r="J53" s="14" t="s">
        <v>90</v>
      </c>
    </row>
    <row r="54" spans="2:10" ht="23.1" customHeight="1" thickBot="1" x14ac:dyDescent="0.3">
      <c r="B54" s="222"/>
      <c r="C54" s="198"/>
      <c r="D54" s="199"/>
      <c r="E54" s="199"/>
      <c r="F54" s="199"/>
      <c r="G54" s="199"/>
      <c r="H54" s="200"/>
      <c r="I54" s="14">
        <v>2</v>
      </c>
      <c r="J54" s="14" t="s">
        <v>89</v>
      </c>
    </row>
    <row r="55" spans="2:10" ht="23.1" customHeight="1" thickBot="1" x14ac:dyDescent="0.3">
      <c r="B55" s="222"/>
      <c r="C55" s="198"/>
      <c r="D55" s="199"/>
      <c r="E55" s="199"/>
      <c r="F55" s="199"/>
      <c r="G55" s="199"/>
      <c r="H55" s="200"/>
      <c r="I55" s="14">
        <v>3</v>
      </c>
      <c r="J55" s="14" t="s">
        <v>53</v>
      </c>
    </row>
    <row r="56" spans="2:10" ht="23.1" customHeight="1" thickBot="1" x14ac:dyDescent="0.3">
      <c r="B56" s="223"/>
      <c r="C56" s="201"/>
      <c r="D56" s="202"/>
      <c r="E56" s="202"/>
      <c r="F56" s="202"/>
      <c r="G56" s="202"/>
      <c r="H56" s="203"/>
      <c r="I56" s="14">
        <v>4</v>
      </c>
      <c r="J56" s="14" t="s">
        <v>54</v>
      </c>
    </row>
    <row r="57" spans="2:10" ht="20.100000000000001" customHeight="1" thickBot="1" x14ac:dyDescent="0.3"/>
    <row r="58" spans="2:10" ht="27" customHeight="1" thickBot="1" x14ac:dyDescent="0.3">
      <c r="B58" s="13" t="s">
        <v>71</v>
      </c>
      <c r="C58" s="195"/>
      <c r="D58" s="196"/>
      <c r="E58" s="196"/>
      <c r="F58" s="196"/>
      <c r="G58" s="196"/>
      <c r="H58" s="197"/>
      <c r="I58" s="85" t="str">
        <f>IF(C58="","",LEN(C58)&amp;"/240　文字")</f>
        <v/>
      </c>
    </row>
    <row r="59" spans="2:10" ht="27" customHeight="1" thickBot="1" x14ac:dyDescent="0.3">
      <c r="B59" s="15" t="s">
        <v>83</v>
      </c>
      <c r="C59" s="198"/>
      <c r="D59" s="199"/>
      <c r="E59" s="199"/>
      <c r="F59" s="199"/>
      <c r="G59" s="199"/>
      <c r="H59" s="200"/>
      <c r="I59" s="14"/>
    </row>
    <row r="60" spans="2:10" ht="27" customHeight="1" thickBot="1" x14ac:dyDescent="0.3">
      <c r="B60" s="33" t="str">
        <f>IF(B61="","",VLOOKUP(B61,I63:J65,2,FALSE))</f>
        <v/>
      </c>
      <c r="C60" s="198"/>
      <c r="D60" s="199"/>
      <c r="E60" s="199"/>
      <c r="F60" s="199"/>
      <c r="G60" s="199"/>
      <c r="H60" s="200"/>
      <c r="I60" s="14"/>
    </row>
    <row r="61" spans="2:10" ht="23.1" customHeight="1" thickBot="1" x14ac:dyDescent="0.3">
      <c r="B61" s="221"/>
      <c r="C61" s="198"/>
      <c r="D61" s="199"/>
      <c r="E61" s="199"/>
      <c r="F61" s="199"/>
      <c r="G61" s="199"/>
      <c r="H61" s="200"/>
      <c r="I61" s="14"/>
    </row>
    <row r="62" spans="2:10" ht="23.1" customHeight="1" thickBot="1" x14ac:dyDescent="0.3">
      <c r="B62" s="222"/>
      <c r="C62" s="198"/>
      <c r="D62" s="199"/>
      <c r="E62" s="199"/>
      <c r="F62" s="199"/>
      <c r="G62" s="199"/>
      <c r="H62" s="200"/>
      <c r="I62" s="14"/>
    </row>
    <row r="63" spans="2:10" ht="23.1" customHeight="1" thickBot="1" x14ac:dyDescent="0.3">
      <c r="B63" s="222"/>
      <c r="C63" s="198"/>
      <c r="D63" s="199"/>
      <c r="E63" s="199"/>
      <c r="F63" s="199"/>
      <c r="G63" s="199"/>
      <c r="H63" s="200"/>
      <c r="I63" s="14">
        <v>1</v>
      </c>
      <c r="J63" s="14" t="s">
        <v>90</v>
      </c>
    </row>
    <row r="64" spans="2:10" ht="23.1" customHeight="1" thickBot="1" x14ac:dyDescent="0.3">
      <c r="B64" s="222"/>
      <c r="C64" s="198"/>
      <c r="D64" s="199"/>
      <c r="E64" s="199"/>
      <c r="F64" s="199"/>
      <c r="G64" s="199"/>
      <c r="H64" s="200"/>
      <c r="I64" s="14">
        <v>2</v>
      </c>
      <c r="J64" s="14" t="s">
        <v>53</v>
      </c>
    </row>
    <row r="65" spans="2:10" ht="23.1" customHeight="1" thickBot="1" x14ac:dyDescent="0.3">
      <c r="B65" s="223"/>
      <c r="C65" s="201"/>
      <c r="D65" s="202"/>
      <c r="E65" s="202"/>
      <c r="F65" s="202"/>
      <c r="G65" s="202"/>
      <c r="H65" s="203"/>
      <c r="I65" s="14">
        <v>3</v>
      </c>
      <c r="J65" s="14" t="s">
        <v>54</v>
      </c>
    </row>
    <row r="66" spans="2:10" ht="20.100000000000001" customHeight="1" thickBot="1" x14ac:dyDescent="0.3">
      <c r="J66" s="11"/>
    </row>
    <row r="67" spans="2:10" ht="27" customHeight="1" thickBot="1" x14ac:dyDescent="0.3">
      <c r="B67" s="13" t="s">
        <v>72</v>
      </c>
      <c r="C67" s="195"/>
      <c r="D67" s="196"/>
      <c r="E67" s="196"/>
      <c r="F67" s="196"/>
      <c r="G67" s="196"/>
      <c r="H67" s="197"/>
      <c r="I67" s="85" t="str">
        <f>IF(C67="","",LEN(C67)&amp;"/240　文字")</f>
        <v/>
      </c>
    </row>
    <row r="68" spans="2:10" ht="27" customHeight="1" thickBot="1" x14ac:dyDescent="0.3">
      <c r="B68" s="15" t="s">
        <v>84</v>
      </c>
      <c r="C68" s="198"/>
      <c r="D68" s="199"/>
      <c r="E68" s="199"/>
      <c r="F68" s="199"/>
      <c r="G68" s="199"/>
      <c r="H68" s="200"/>
      <c r="I68" s="14"/>
    </row>
    <row r="69" spans="2:10" ht="27" customHeight="1" thickBot="1" x14ac:dyDescent="0.3">
      <c r="B69" s="33" t="str">
        <f>IF(B70="","",VLOOKUP(B70,I72:J74,2,FALSE))</f>
        <v/>
      </c>
      <c r="C69" s="198"/>
      <c r="D69" s="199"/>
      <c r="E69" s="199"/>
      <c r="F69" s="199"/>
      <c r="G69" s="199"/>
      <c r="H69" s="200"/>
      <c r="I69" s="14"/>
    </row>
    <row r="70" spans="2:10" ht="23.1" customHeight="1" thickBot="1" x14ac:dyDescent="0.3">
      <c r="B70" s="221"/>
      <c r="C70" s="198"/>
      <c r="D70" s="199"/>
      <c r="E70" s="199"/>
      <c r="F70" s="199"/>
      <c r="G70" s="199"/>
      <c r="H70" s="200"/>
      <c r="I70" s="14"/>
    </row>
    <row r="71" spans="2:10" ht="23.1" customHeight="1" thickBot="1" x14ac:dyDescent="0.3">
      <c r="B71" s="222"/>
      <c r="C71" s="198"/>
      <c r="D71" s="199"/>
      <c r="E71" s="199"/>
      <c r="F71" s="199"/>
      <c r="G71" s="199"/>
      <c r="H71" s="200"/>
      <c r="I71" s="14"/>
    </row>
    <row r="72" spans="2:10" ht="23.1" customHeight="1" thickBot="1" x14ac:dyDescent="0.3">
      <c r="B72" s="222"/>
      <c r="C72" s="198"/>
      <c r="D72" s="199"/>
      <c r="E72" s="199"/>
      <c r="F72" s="199"/>
      <c r="G72" s="199"/>
      <c r="H72" s="200"/>
      <c r="I72" s="14">
        <v>1</v>
      </c>
      <c r="J72" s="14" t="s">
        <v>90</v>
      </c>
    </row>
    <row r="73" spans="2:10" ht="23.1" customHeight="1" thickBot="1" x14ac:dyDescent="0.3">
      <c r="B73" s="222"/>
      <c r="C73" s="198"/>
      <c r="D73" s="199"/>
      <c r="E73" s="199"/>
      <c r="F73" s="199"/>
      <c r="G73" s="199"/>
      <c r="H73" s="200"/>
      <c r="I73" s="14">
        <v>2</v>
      </c>
      <c r="J73" s="14" t="s">
        <v>53</v>
      </c>
    </row>
    <row r="74" spans="2:10" ht="23.1" customHeight="1" thickBot="1" x14ac:dyDescent="0.3">
      <c r="B74" s="223"/>
      <c r="C74" s="201"/>
      <c r="D74" s="202"/>
      <c r="E74" s="202"/>
      <c r="F74" s="202"/>
      <c r="G74" s="202"/>
      <c r="H74" s="203"/>
      <c r="I74" s="14">
        <v>3</v>
      </c>
      <c r="J74" s="14" t="s">
        <v>54</v>
      </c>
    </row>
    <row r="75" spans="2:10" ht="20.100000000000001" customHeight="1" thickBot="1" x14ac:dyDescent="0.3"/>
    <row r="76" spans="2:10" ht="27" customHeight="1" thickBot="1" x14ac:dyDescent="0.3">
      <c r="B76" s="13" t="s">
        <v>73</v>
      </c>
      <c r="C76" s="195"/>
      <c r="D76" s="196"/>
      <c r="E76" s="196"/>
      <c r="F76" s="196"/>
      <c r="G76" s="196"/>
      <c r="H76" s="197"/>
      <c r="I76" s="85" t="str">
        <f>IF(C76="","",LEN(C76)&amp;"/240　文字")</f>
        <v/>
      </c>
    </row>
    <row r="77" spans="2:10" ht="27" customHeight="1" thickBot="1" x14ac:dyDescent="0.3">
      <c r="B77" s="24" t="s">
        <v>85</v>
      </c>
      <c r="C77" s="198"/>
      <c r="D77" s="199"/>
      <c r="E77" s="199"/>
      <c r="F77" s="199"/>
      <c r="G77" s="199"/>
      <c r="H77" s="200"/>
      <c r="I77" s="14"/>
    </row>
    <row r="78" spans="2:10" ht="27" customHeight="1" thickBot="1" x14ac:dyDescent="0.3">
      <c r="B78" s="33" t="str">
        <f>IF(B79="","",VLOOKUP(B79,I81:J83,2,FALSE))</f>
        <v/>
      </c>
      <c r="C78" s="198"/>
      <c r="D78" s="199"/>
      <c r="E78" s="199"/>
      <c r="F78" s="199"/>
      <c r="G78" s="199"/>
      <c r="H78" s="200"/>
      <c r="I78" s="14"/>
    </row>
    <row r="79" spans="2:10" ht="23.1" customHeight="1" thickBot="1" x14ac:dyDescent="0.3">
      <c r="B79" s="221"/>
      <c r="C79" s="198"/>
      <c r="D79" s="199"/>
      <c r="E79" s="199"/>
      <c r="F79" s="199"/>
      <c r="G79" s="199"/>
      <c r="H79" s="200"/>
      <c r="I79" s="14"/>
    </row>
    <row r="80" spans="2:10" ht="23.1" customHeight="1" thickBot="1" x14ac:dyDescent="0.3">
      <c r="B80" s="222"/>
      <c r="C80" s="198"/>
      <c r="D80" s="199"/>
      <c r="E80" s="199"/>
      <c r="F80" s="199"/>
      <c r="G80" s="199"/>
      <c r="H80" s="200"/>
      <c r="I80" s="14"/>
    </row>
    <row r="81" spans="2:10" ht="23.1" customHeight="1" thickBot="1" x14ac:dyDescent="0.3">
      <c r="B81" s="222"/>
      <c r="C81" s="198"/>
      <c r="D81" s="199"/>
      <c r="E81" s="199"/>
      <c r="F81" s="199"/>
      <c r="G81" s="199"/>
      <c r="H81" s="200"/>
      <c r="I81" s="14">
        <v>1</v>
      </c>
      <c r="J81" s="14" t="s">
        <v>90</v>
      </c>
    </row>
    <row r="82" spans="2:10" ht="23.1" customHeight="1" thickBot="1" x14ac:dyDescent="0.3">
      <c r="B82" s="222"/>
      <c r="C82" s="198"/>
      <c r="D82" s="199"/>
      <c r="E82" s="199"/>
      <c r="F82" s="199"/>
      <c r="G82" s="199"/>
      <c r="H82" s="200"/>
      <c r="I82" s="14">
        <v>2</v>
      </c>
      <c r="J82" s="14" t="s">
        <v>53</v>
      </c>
    </row>
    <row r="83" spans="2:10" ht="23.1" customHeight="1" thickBot="1" x14ac:dyDescent="0.3">
      <c r="B83" s="223"/>
      <c r="C83" s="201"/>
      <c r="D83" s="202"/>
      <c r="E83" s="202"/>
      <c r="F83" s="202"/>
      <c r="G83" s="202"/>
      <c r="H83" s="203"/>
      <c r="I83" s="14">
        <v>3</v>
      </c>
      <c r="J83" s="14" t="s">
        <v>54</v>
      </c>
    </row>
    <row r="84" spans="2:10" ht="20.100000000000001" customHeight="1" thickBot="1" x14ac:dyDescent="0.3"/>
    <row r="85" spans="2:10" ht="27" customHeight="1" thickBot="1" x14ac:dyDescent="0.3">
      <c r="B85" s="13" t="s">
        <v>74</v>
      </c>
      <c r="C85" s="195"/>
      <c r="D85" s="196"/>
      <c r="E85" s="196"/>
      <c r="F85" s="196"/>
      <c r="G85" s="196"/>
      <c r="H85" s="197"/>
      <c r="I85" s="85" t="str">
        <f>IF(C85="","",LEN(C85)&amp;"/240　文字")</f>
        <v/>
      </c>
    </row>
    <row r="86" spans="2:10" ht="27" customHeight="1" thickBot="1" x14ac:dyDescent="0.3">
      <c r="B86" s="26" t="s">
        <v>86</v>
      </c>
      <c r="C86" s="198"/>
      <c r="D86" s="199"/>
      <c r="E86" s="199"/>
      <c r="F86" s="199"/>
      <c r="G86" s="199"/>
      <c r="H86" s="200"/>
      <c r="I86" s="14"/>
    </row>
    <row r="87" spans="2:10" ht="27" customHeight="1" thickBot="1" x14ac:dyDescent="0.3">
      <c r="B87" s="33" t="str">
        <f>IF(B88="","",VLOOKUP(B88,I89:J92,2,FALSE))</f>
        <v/>
      </c>
      <c r="C87" s="198"/>
      <c r="D87" s="199"/>
      <c r="E87" s="199"/>
      <c r="F87" s="199"/>
      <c r="G87" s="199"/>
      <c r="H87" s="200"/>
      <c r="I87" s="14"/>
    </row>
    <row r="88" spans="2:10" ht="23.1" customHeight="1" thickBot="1" x14ac:dyDescent="0.3">
      <c r="B88" s="221"/>
      <c r="C88" s="198"/>
      <c r="D88" s="199"/>
      <c r="E88" s="199"/>
      <c r="F88" s="199"/>
      <c r="G88" s="199"/>
      <c r="H88" s="200"/>
      <c r="I88" s="14"/>
    </row>
    <row r="89" spans="2:10" ht="23.1" customHeight="1" thickBot="1" x14ac:dyDescent="0.3">
      <c r="B89" s="222"/>
      <c r="C89" s="198"/>
      <c r="D89" s="199"/>
      <c r="E89" s="199"/>
      <c r="F89" s="199"/>
      <c r="G89" s="199"/>
      <c r="H89" s="200"/>
      <c r="I89" s="14">
        <v>1</v>
      </c>
      <c r="J89" s="14" t="s">
        <v>90</v>
      </c>
    </row>
    <row r="90" spans="2:10" ht="23.1" customHeight="1" thickBot="1" x14ac:dyDescent="0.3">
      <c r="B90" s="222"/>
      <c r="C90" s="198"/>
      <c r="D90" s="199"/>
      <c r="E90" s="199"/>
      <c r="F90" s="199"/>
      <c r="G90" s="199"/>
      <c r="H90" s="200"/>
      <c r="I90" s="14">
        <v>2</v>
      </c>
      <c r="J90" s="14" t="s">
        <v>89</v>
      </c>
    </row>
    <row r="91" spans="2:10" ht="23.1" customHeight="1" thickBot="1" x14ac:dyDescent="0.3">
      <c r="B91" s="222"/>
      <c r="C91" s="198"/>
      <c r="D91" s="199"/>
      <c r="E91" s="199"/>
      <c r="F91" s="199"/>
      <c r="G91" s="199"/>
      <c r="H91" s="200"/>
      <c r="I91" s="14">
        <v>3</v>
      </c>
      <c r="J91" s="14" t="s">
        <v>53</v>
      </c>
    </row>
    <row r="92" spans="2:10" ht="23.1" customHeight="1" thickBot="1" x14ac:dyDescent="0.3">
      <c r="B92" s="223"/>
      <c r="C92" s="201"/>
      <c r="D92" s="202"/>
      <c r="E92" s="202"/>
      <c r="F92" s="202"/>
      <c r="G92" s="202"/>
      <c r="H92" s="203"/>
      <c r="I92" s="14">
        <v>4</v>
      </c>
      <c r="J92" s="14" t="s">
        <v>54</v>
      </c>
    </row>
    <row r="93" spans="2:10" ht="20.100000000000001" customHeight="1" thickBot="1" x14ac:dyDescent="0.3"/>
    <row r="94" spans="2:10" ht="27" customHeight="1" thickBot="1" x14ac:dyDescent="0.3">
      <c r="B94" s="13" t="s">
        <v>75</v>
      </c>
      <c r="C94" s="195"/>
      <c r="D94" s="196"/>
      <c r="E94" s="196"/>
      <c r="F94" s="196"/>
      <c r="G94" s="196"/>
      <c r="H94" s="197"/>
      <c r="I94" s="85" t="str">
        <f>IF(C94="","",LEN(C94)&amp;"/240　文字")</f>
        <v/>
      </c>
    </row>
    <row r="95" spans="2:10" ht="27" customHeight="1" thickBot="1" x14ac:dyDescent="0.3">
      <c r="B95" s="24" t="s">
        <v>87</v>
      </c>
      <c r="C95" s="198"/>
      <c r="D95" s="199"/>
      <c r="E95" s="199"/>
      <c r="F95" s="199"/>
      <c r="G95" s="199"/>
      <c r="H95" s="200"/>
      <c r="I95" s="14"/>
    </row>
    <row r="96" spans="2:10" ht="27" customHeight="1" thickBot="1" x14ac:dyDescent="0.3">
      <c r="B96" s="33" t="str">
        <f>IF(B97="","",VLOOKUP(B97,I98:J101,2,FALSE))</f>
        <v/>
      </c>
      <c r="C96" s="198"/>
      <c r="D96" s="199"/>
      <c r="E96" s="199"/>
      <c r="F96" s="199"/>
      <c r="G96" s="199"/>
      <c r="H96" s="200"/>
      <c r="I96" s="14"/>
    </row>
    <row r="97" spans="2:10" ht="23.1" customHeight="1" thickBot="1" x14ac:dyDescent="0.3">
      <c r="B97" s="221"/>
      <c r="C97" s="198"/>
      <c r="D97" s="199"/>
      <c r="E97" s="199"/>
      <c r="F97" s="199"/>
      <c r="G97" s="199"/>
      <c r="H97" s="200"/>
      <c r="I97" s="14"/>
    </row>
    <row r="98" spans="2:10" ht="23.1" customHeight="1" thickBot="1" x14ac:dyDescent="0.3">
      <c r="B98" s="222"/>
      <c r="C98" s="198"/>
      <c r="D98" s="199"/>
      <c r="E98" s="199"/>
      <c r="F98" s="199"/>
      <c r="G98" s="199"/>
      <c r="H98" s="200"/>
      <c r="I98" s="14">
        <v>1</v>
      </c>
      <c r="J98" s="14" t="s">
        <v>90</v>
      </c>
    </row>
    <row r="99" spans="2:10" ht="23.1" customHeight="1" thickBot="1" x14ac:dyDescent="0.3">
      <c r="B99" s="222"/>
      <c r="C99" s="198"/>
      <c r="D99" s="199"/>
      <c r="E99" s="199"/>
      <c r="F99" s="199"/>
      <c r="G99" s="199"/>
      <c r="H99" s="200"/>
      <c r="I99" s="14">
        <v>2</v>
      </c>
      <c r="J99" s="14" t="s">
        <v>89</v>
      </c>
    </row>
    <row r="100" spans="2:10" ht="23.1" customHeight="1" thickBot="1" x14ac:dyDescent="0.3">
      <c r="B100" s="222"/>
      <c r="C100" s="198"/>
      <c r="D100" s="199"/>
      <c r="E100" s="199"/>
      <c r="F100" s="199"/>
      <c r="G100" s="199"/>
      <c r="H100" s="200"/>
      <c r="I100" s="14">
        <v>3</v>
      </c>
      <c r="J100" s="14" t="s">
        <v>53</v>
      </c>
    </row>
    <row r="101" spans="2:10" ht="23.1" customHeight="1" thickBot="1" x14ac:dyDescent="0.3">
      <c r="B101" s="223"/>
      <c r="C101" s="201"/>
      <c r="D101" s="202"/>
      <c r="E101" s="202"/>
      <c r="F101" s="202"/>
      <c r="G101" s="202"/>
      <c r="H101" s="203"/>
      <c r="I101" s="14">
        <v>4</v>
      </c>
      <c r="J101" s="14" t="s">
        <v>54</v>
      </c>
    </row>
    <row r="102" spans="2:10" ht="20.100000000000001" customHeight="1" thickBot="1" x14ac:dyDescent="0.3"/>
    <row r="103" spans="2:10" ht="27" customHeight="1" thickBot="1" x14ac:dyDescent="0.3">
      <c r="B103" s="13" t="s">
        <v>76</v>
      </c>
      <c r="C103" s="195"/>
      <c r="D103" s="196"/>
      <c r="E103" s="196"/>
      <c r="F103" s="196"/>
      <c r="G103" s="196"/>
      <c r="H103" s="197"/>
      <c r="I103" s="85" t="str">
        <f>IF(C103="","",LEN(C103)&amp;"/240　文字")</f>
        <v/>
      </c>
    </row>
    <row r="104" spans="2:10" ht="27" customHeight="1" thickBot="1" x14ac:dyDescent="0.3">
      <c r="B104" s="15" t="s">
        <v>88</v>
      </c>
      <c r="C104" s="198"/>
      <c r="D104" s="199"/>
      <c r="E104" s="199"/>
      <c r="F104" s="199"/>
      <c r="G104" s="199"/>
      <c r="H104" s="200"/>
      <c r="I104" s="14"/>
    </row>
    <row r="105" spans="2:10" ht="27" customHeight="1" thickBot="1" x14ac:dyDescent="0.3">
      <c r="B105" s="33" t="str">
        <f>IF(B106="","",VLOOKUP(B106,I108:J110,2,FALSE))</f>
        <v/>
      </c>
      <c r="C105" s="198"/>
      <c r="D105" s="199"/>
      <c r="E105" s="199"/>
      <c r="F105" s="199"/>
      <c r="G105" s="199"/>
      <c r="H105" s="200"/>
      <c r="I105" s="14"/>
    </row>
    <row r="106" spans="2:10" ht="23.1" customHeight="1" thickBot="1" x14ac:dyDescent="0.3">
      <c r="B106" s="221"/>
      <c r="C106" s="198"/>
      <c r="D106" s="199"/>
      <c r="E106" s="199"/>
      <c r="F106" s="199"/>
      <c r="G106" s="199"/>
      <c r="H106" s="200"/>
      <c r="I106" s="11"/>
    </row>
    <row r="107" spans="2:10" ht="23.1" customHeight="1" thickBot="1" x14ac:dyDescent="0.3">
      <c r="B107" s="222"/>
      <c r="C107" s="198"/>
      <c r="D107" s="199"/>
      <c r="E107" s="199"/>
      <c r="F107" s="199"/>
      <c r="G107" s="199"/>
      <c r="H107" s="200"/>
      <c r="I107" s="11"/>
    </row>
    <row r="108" spans="2:10" ht="23.1" customHeight="1" thickBot="1" x14ac:dyDescent="0.3">
      <c r="B108" s="222"/>
      <c r="C108" s="198"/>
      <c r="D108" s="199"/>
      <c r="E108" s="199"/>
      <c r="F108" s="199"/>
      <c r="G108" s="199"/>
      <c r="H108" s="200"/>
      <c r="I108" s="14">
        <v>1</v>
      </c>
      <c r="J108" s="14" t="s">
        <v>91</v>
      </c>
    </row>
    <row r="109" spans="2:10" ht="23.1" customHeight="1" thickBot="1" x14ac:dyDescent="0.3">
      <c r="B109" s="222"/>
      <c r="C109" s="198"/>
      <c r="D109" s="199"/>
      <c r="E109" s="199"/>
      <c r="F109" s="199"/>
      <c r="G109" s="199"/>
      <c r="H109" s="200"/>
      <c r="I109" s="14">
        <v>2</v>
      </c>
      <c r="J109" s="14" t="s">
        <v>92</v>
      </c>
    </row>
    <row r="110" spans="2:10" ht="23.1" customHeight="1" thickBot="1" x14ac:dyDescent="0.3">
      <c r="B110" s="223"/>
      <c r="C110" s="201"/>
      <c r="D110" s="202"/>
      <c r="E110" s="202"/>
      <c r="F110" s="202"/>
      <c r="G110" s="202"/>
      <c r="H110" s="203"/>
      <c r="I110" s="14">
        <v>3</v>
      </c>
      <c r="J110" s="14" t="s">
        <v>93</v>
      </c>
    </row>
    <row r="111" spans="2:10" ht="20.100000000000001" customHeight="1" x14ac:dyDescent="0.25"/>
  </sheetData>
  <sheetProtection selectLockedCells="1"/>
  <mergeCells count="29">
    <mergeCell ref="C1:H1"/>
    <mergeCell ref="C85:H92"/>
    <mergeCell ref="B88:B92"/>
    <mergeCell ref="B25:B29"/>
    <mergeCell ref="C31:H38"/>
    <mergeCell ref="B34:B38"/>
    <mergeCell ref="C40:H47"/>
    <mergeCell ref="B43:B47"/>
    <mergeCell ref="C49:H56"/>
    <mergeCell ref="B52:B56"/>
    <mergeCell ref="C13:H20"/>
    <mergeCell ref="C22:H29"/>
    <mergeCell ref="C4:H11"/>
    <mergeCell ref="C2:D3"/>
    <mergeCell ref="E2:F3"/>
    <mergeCell ref="G2:H3"/>
    <mergeCell ref="I7:J7"/>
    <mergeCell ref="C94:H101"/>
    <mergeCell ref="B97:B101"/>
    <mergeCell ref="C103:H110"/>
    <mergeCell ref="B106:B110"/>
    <mergeCell ref="C58:H65"/>
    <mergeCell ref="B61:B65"/>
    <mergeCell ref="C67:H74"/>
    <mergeCell ref="B70:B74"/>
    <mergeCell ref="C76:H83"/>
    <mergeCell ref="B79:B83"/>
    <mergeCell ref="B16:B20"/>
    <mergeCell ref="B7:B11"/>
  </mergeCells>
  <phoneticPr fontId="1"/>
  <conditionalFormatting sqref="B7:B11">
    <cfRule type="cellIs" dxfId="22" priority="1" operator="lessThan">
      <formula>1</formula>
    </cfRule>
  </conditionalFormatting>
  <conditionalFormatting sqref="B16:B20">
    <cfRule type="cellIs" dxfId="21" priority="2" operator="lessThan">
      <formula>1</formula>
    </cfRule>
  </conditionalFormatting>
  <conditionalFormatting sqref="B25:B29 B34:B38 B43:B47 B52:B56 B61:B65 B70:B74 B79:B83 B88:B92 B97:B101 B106:B110">
    <cfRule type="cellIs" dxfId="20" priority="4" operator="lessThan">
      <formula>1</formula>
    </cfRule>
  </conditionalFormatting>
  <dataValidations count="3">
    <dataValidation type="whole" imeMode="halfAlpha" allowBlank="1" showInputMessage="1" showErrorMessage="1" sqref="B106:B110 B25:B29 B61:B65 B70:B74 B79:B83" xr:uid="{00000000-0002-0000-0200-000000000000}">
      <formula1>1</formula1>
      <formula2>3</formula2>
    </dataValidation>
    <dataValidation type="whole" imeMode="halfAlpha" allowBlank="1" showInputMessage="1" showErrorMessage="1" sqref="B97:B101 B7:B11 B16:B20 B34:B38 B43:B47 B52:B56 B88:B92" xr:uid="{00000000-0002-0000-0200-000001000000}">
      <formula1>1</formula1>
      <formula2>4</formula2>
    </dataValidation>
    <dataValidation type="textLength" imeMode="hiragana" operator="lessThanOrEqual" allowBlank="1" showInputMessage="1" showErrorMessage="1" sqref="C4:H11 C13:H20 C22:H29 C31:H38 C40:H47 C49:H56 C58:H65 C67:H74 C76:H83 C85:H92 C94:H101 C103:H110" xr:uid="{00000000-0002-0000-0200-000005000000}">
      <formula1>240</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66"/>
  </sheetPr>
  <dimension ref="B1:M84"/>
  <sheetViews>
    <sheetView workbookViewId="0">
      <pane ySplit="3" topLeftCell="A4" activePane="bottomLeft" state="frozen"/>
      <selection pane="bottomLeft" activeCell="B87" sqref="B87"/>
    </sheetView>
  </sheetViews>
  <sheetFormatPr defaultColWidth="9" defaultRowHeight="12.75" x14ac:dyDescent="0.25"/>
  <cols>
    <col min="1" max="1" width="2" style="11" customWidth="1"/>
    <col min="2" max="2" width="10.6640625" style="11" customWidth="1"/>
    <col min="3" max="8" width="9" style="11"/>
    <col min="9" max="9" width="2.33203125" style="10" bestFit="1" customWidth="1"/>
    <col min="10" max="13" width="9" style="10"/>
    <col min="14" max="16384" width="9" style="11"/>
  </cols>
  <sheetData>
    <row r="1" spans="2:10" ht="21" x14ac:dyDescent="0.25">
      <c r="B1" s="25"/>
      <c r="C1" s="224" t="s">
        <v>95</v>
      </c>
      <c r="D1" s="224"/>
      <c r="E1" s="224"/>
      <c r="F1" s="224"/>
      <c r="G1" s="224"/>
      <c r="H1" s="224"/>
    </row>
    <row r="2" spans="2:10" x14ac:dyDescent="0.25">
      <c r="C2" s="227">
        <f>基本情報!$B$2</f>
        <v>0</v>
      </c>
      <c r="D2" s="227"/>
      <c r="E2" s="225">
        <f>基本情報!$B$3</f>
        <v>0</v>
      </c>
      <c r="F2" s="225"/>
      <c r="G2" s="229" t="str">
        <f>IF(計算シート!$M$78=0,"",計算シート!$M$78&amp;"/48　特記入力済み")</f>
        <v/>
      </c>
      <c r="H2" s="229"/>
    </row>
    <row r="3" spans="2:10" ht="13.15" thickBot="1" x14ac:dyDescent="0.3">
      <c r="B3" s="12"/>
      <c r="C3" s="228"/>
      <c r="D3" s="228"/>
      <c r="E3" s="226"/>
      <c r="F3" s="226"/>
      <c r="G3" s="230"/>
      <c r="H3" s="230"/>
    </row>
    <row r="4" spans="2:10" ht="27" customHeight="1" thickBot="1" x14ac:dyDescent="0.3">
      <c r="B4" s="13" t="s">
        <v>97</v>
      </c>
      <c r="C4" s="195"/>
      <c r="D4" s="196"/>
      <c r="E4" s="196"/>
      <c r="F4" s="196"/>
      <c r="G4" s="196"/>
      <c r="H4" s="197"/>
      <c r="I4" s="85" t="str">
        <f>IF(C4="","",LEN(C4)&amp;"/240　文字")</f>
        <v/>
      </c>
    </row>
    <row r="5" spans="2:10" ht="27" customHeight="1" thickBot="1" x14ac:dyDescent="0.3">
      <c r="B5" s="26" t="s">
        <v>105</v>
      </c>
      <c r="C5" s="198"/>
      <c r="D5" s="199"/>
      <c r="E5" s="199"/>
      <c r="F5" s="199"/>
      <c r="G5" s="199"/>
      <c r="H5" s="200"/>
      <c r="I5" s="14"/>
    </row>
    <row r="6" spans="2:10" ht="27" customHeight="1" thickBot="1" x14ac:dyDescent="0.3">
      <c r="B6" s="32" t="str">
        <f>IF(B7="","",VLOOKUP(B7,I8:J11,2,FALSE))</f>
        <v/>
      </c>
      <c r="C6" s="198"/>
      <c r="D6" s="199"/>
      <c r="E6" s="199"/>
      <c r="F6" s="199"/>
      <c r="G6" s="199"/>
      <c r="H6" s="200"/>
      <c r="I6" s="137" t="str">
        <f>IF(AND(B7&gt;=2,C4=""),"特記事項は記入していますか？","")</f>
        <v/>
      </c>
      <c r="J6" s="17"/>
    </row>
    <row r="7" spans="2:10" ht="23.1" customHeight="1" thickBot="1" x14ac:dyDescent="0.3">
      <c r="B7" s="221"/>
      <c r="C7" s="198"/>
      <c r="D7" s="199"/>
      <c r="E7" s="199"/>
      <c r="F7" s="199"/>
      <c r="G7" s="199"/>
      <c r="H7" s="200"/>
      <c r="I7" s="231"/>
      <c r="J7" s="231"/>
    </row>
    <row r="8" spans="2:10" ht="23.1" customHeight="1" thickBot="1" x14ac:dyDescent="0.3">
      <c r="B8" s="222"/>
      <c r="C8" s="198"/>
      <c r="D8" s="199"/>
      <c r="E8" s="199"/>
      <c r="F8" s="199"/>
      <c r="G8" s="199"/>
      <c r="H8" s="200"/>
      <c r="I8" s="14">
        <v>1</v>
      </c>
      <c r="J8" s="14" t="s">
        <v>114</v>
      </c>
    </row>
    <row r="9" spans="2:10" ht="23.1" customHeight="1" thickBot="1" x14ac:dyDescent="0.3">
      <c r="B9" s="222"/>
      <c r="C9" s="198"/>
      <c r="D9" s="199"/>
      <c r="E9" s="199"/>
      <c r="F9" s="199"/>
      <c r="G9" s="199"/>
      <c r="H9" s="200"/>
      <c r="I9" s="14">
        <v>2</v>
      </c>
      <c r="J9" s="14" t="s">
        <v>115</v>
      </c>
    </row>
    <row r="10" spans="2:10" ht="23.1" customHeight="1" thickBot="1" x14ac:dyDescent="0.3">
      <c r="B10" s="222"/>
      <c r="C10" s="198"/>
      <c r="D10" s="199"/>
      <c r="E10" s="199"/>
      <c r="F10" s="199"/>
      <c r="G10" s="199"/>
      <c r="H10" s="200"/>
      <c r="I10" s="14">
        <v>3</v>
      </c>
      <c r="J10" s="14" t="s">
        <v>116</v>
      </c>
    </row>
    <row r="11" spans="2:10" ht="23.1" customHeight="1" thickBot="1" x14ac:dyDescent="0.3">
      <c r="B11" s="223"/>
      <c r="C11" s="201"/>
      <c r="D11" s="202"/>
      <c r="E11" s="202"/>
      <c r="F11" s="202"/>
      <c r="G11" s="202"/>
      <c r="H11" s="203"/>
      <c r="I11" s="14">
        <v>4</v>
      </c>
      <c r="J11" s="14" t="s">
        <v>419</v>
      </c>
    </row>
    <row r="12" spans="2:10" ht="20.100000000000001" customHeight="1" thickBot="1" x14ac:dyDescent="0.3">
      <c r="I12" s="17"/>
      <c r="J12" s="17"/>
    </row>
    <row r="13" spans="2:10" ht="27" customHeight="1" thickBot="1" x14ac:dyDescent="0.3">
      <c r="B13" s="13" t="s">
        <v>96</v>
      </c>
      <c r="C13" s="195"/>
      <c r="D13" s="196"/>
      <c r="E13" s="196"/>
      <c r="F13" s="196"/>
      <c r="G13" s="196"/>
      <c r="H13" s="197"/>
      <c r="I13" s="85" t="str">
        <f>IF(C13="","",LEN(C13)&amp;"/240　文字")</f>
        <v/>
      </c>
      <c r="J13" s="17"/>
    </row>
    <row r="14" spans="2:10" ht="27" customHeight="1" thickBot="1" x14ac:dyDescent="0.3">
      <c r="B14" s="182" t="s">
        <v>106</v>
      </c>
      <c r="C14" s="198"/>
      <c r="D14" s="199"/>
      <c r="E14" s="199"/>
      <c r="F14" s="199"/>
      <c r="G14" s="199"/>
      <c r="H14" s="200"/>
      <c r="I14" s="16"/>
      <c r="J14" s="17"/>
    </row>
    <row r="15" spans="2:10" ht="27" customHeight="1" thickBot="1" x14ac:dyDescent="0.3">
      <c r="B15" s="33" t="str">
        <f>IF(B16="","",VLOOKUP(B16,I19:J20,2,FALSE))</f>
        <v/>
      </c>
      <c r="C15" s="198"/>
      <c r="D15" s="199"/>
      <c r="E15" s="199"/>
      <c r="F15" s="199"/>
      <c r="G15" s="199"/>
      <c r="H15" s="200"/>
      <c r="I15" s="137" t="str">
        <f>IF(AND(B16&gt;=2,C13=""),"特記事項は記入していますか？","")</f>
        <v/>
      </c>
      <c r="J15" s="17"/>
    </row>
    <row r="16" spans="2:10" ht="23.1" customHeight="1" thickBot="1" x14ac:dyDescent="0.3">
      <c r="B16" s="221"/>
      <c r="C16" s="198"/>
      <c r="D16" s="199"/>
      <c r="E16" s="199"/>
      <c r="F16" s="199"/>
      <c r="G16" s="199"/>
      <c r="H16" s="200"/>
      <c r="I16" s="16"/>
      <c r="J16" s="17"/>
    </row>
    <row r="17" spans="2:10" ht="23.1" customHeight="1" thickBot="1" x14ac:dyDescent="0.3">
      <c r="B17" s="222"/>
      <c r="C17" s="198"/>
      <c r="D17" s="199"/>
      <c r="E17" s="199"/>
      <c r="F17" s="199"/>
      <c r="G17" s="199"/>
      <c r="H17" s="200"/>
      <c r="I17" s="11"/>
      <c r="J17" s="11"/>
    </row>
    <row r="18" spans="2:10" ht="23.1" customHeight="1" thickBot="1" x14ac:dyDescent="0.3">
      <c r="B18" s="222"/>
      <c r="C18" s="198"/>
      <c r="D18" s="199"/>
      <c r="E18" s="199"/>
      <c r="F18" s="199"/>
      <c r="G18" s="199"/>
      <c r="H18" s="200"/>
      <c r="I18" s="11"/>
      <c r="J18" s="11"/>
    </row>
    <row r="19" spans="2:10" ht="23.1" customHeight="1" thickBot="1" x14ac:dyDescent="0.3">
      <c r="B19" s="222"/>
      <c r="C19" s="198"/>
      <c r="D19" s="199"/>
      <c r="E19" s="199"/>
      <c r="F19" s="199"/>
      <c r="G19" s="199"/>
      <c r="H19" s="200"/>
      <c r="I19" s="14">
        <v>1</v>
      </c>
      <c r="J19" s="14" t="s">
        <v>114</v>
      </c>
    </row>
    <row r="20" spans="2:10" ht="23.1" customHeight="1" thickBot="1" x14ac:dyDescent="0.3">
      <c r="B20" s="223"/>
      <c r="C20" s="201"/>
      <c r="D20" s="202"/>
      <c r="E20" s="202"/>
      <c r="F20" s="202"/>
      <c r="G20" s="202"/>
      <c r="H20" s="203"/>
      <c r="I20" s="14">
        <v>2</v>
      </c>
      <c r="J20" s="14" t="s">
        <v>51</v>
      </c>
    </row>
    <row r="21" spans="2:10" ht="20.100000000000001" customHeight="1" thickBot="1" x14ac:dyDescent="0.3"/>
    <row r="22" spans="2:10" ht="27" customHeight="1" thickBot="1" x14ac:dyDescent="0.3">
      <c r="B22" s="13" t="s">
        <v>98</v>
      </c>
      <c r="C22" s="195"/>
      <c r="D22" s="196"/>
      <c r="E22" s="196"/>
      <c r="F22" s="196"/>
      <c r="G22" s="196"/>
      <c r="H22" s="197"/>
      <c r="I22" s="85" t="str">
        <f>IF(C22="","",LEN(C22)&amp;"/240　文字")</f>
        <v/>
      </c>
      <c r="J22" s="17"/>
    </row>
    <row r="23" spans="2:10" ht="27" customHeight="1" thickBot="1" x14ac:dyDescent="0.3">
      <c r="B23" s="24" t="s">
        <v>107</v>
      </c>
      <c r="C23" s="198"/>
      <c r="D23" s="199"/>
      <c r="E23" s="199"/>
      <c r="F23" s="199"/>
      <c r="G23" s="199"/>
      <c r="H23" s="200"/>
      <c r="I23" s="16"/>
      <c r="J23" s="17"/>
    </row>
    <row r="24" spans="2:10" ht="27" customHeight="1" thickBot="1" x14ac:dyDescent="0.3">
      <c r="B24" s="33" t="str">
        <f>IF(B25="","",VLOOKUP(B25,I28:J29,2,FALSE))</f>
        <v/>
      </c>
      <c r="C24" s="198"/>
      <c r="D24" s="199"/>
      <c r="E24" s="199"/>
      <c r="F24" s="199"/>
      <c r="G24" s="199"/>
      <c r="H24" s="200"/>
      <c r="I24" s="137" t="str">
        <f>IF(AND(B25&gt;=2,C22=""),"特記事項は記入していますか？","")</f>
        <v/>
      </c>
      <c r="J24" s="17"/>
    </row>
    <row r="25" spans="2:10" ht="23.1" customHeight="1" thickBot="1" x14ac:dyDescent="0.3">
      <c r="B25" s="221"/>
      <c r="C25" s="198"/>
      <c r="D25" s="199"/>
      <c r="E25" s="199"/>
      <c r="F25" s="199"/>
      <c r="G25" s="199"/>
      <c r="H25" s="200"/>
      <c r="I25" s="16"/>
      <c r="J25" s="17"/>
    </row>
    <row r="26" spans="2:10" ht="23.1" customHeight="1" thickBot="1" x14ac:dyDescent="0.3">
      <c r="B26" s="222"/>
      <c r="C26" s="198"/>
      <c r="D26" s="199"/>
      <c r="E26" s="199"/>
      <c r="F26" s="199"/>
      <c r="G26" s="199"/>
      <c r="H26" s="200"/>
      <c r="I26" s="11"/>
      <c r="J26" s="11"/>
    </row>
    <row r="27" spans="2:10" ht="23.1" customHeight="1" thickBot="1" x14ac:dyDescent="0.3">
      <c r="B27" s="222"/>
      <c r="C27" s="198"/>
      <c r="D27" s="199"/>
      <c r="E27" s="199"/>
      <c r="F27" s="199"/>
      <c r="G27" s="199"/>
      <c r="H27" s="200"/>
      <c r="I27" s="11"/>
      <c r="J27" s="11"/>
    </row>
    <row r="28" spans="2:10" ht="23.1" customHeight="1" thickBot="1" x14ac:dyDescent="0.3">
      <c r="B28" s="222"/>
      <c r="C28" s="198"/>
      <c r="D28" s="199"/>
      <c r="E28" s="199"/>
      <c r="F28" s="199"/>
      <c r="G28" s="199"/>
      <c r="H28" s="200"/>
      <c r="I28" s="14">
        <v>1</v>
      </c>
      <c r="J28" s="14" t="s">
        <v>114</v>
      </c>
    </row>
    <row r="29" spans="2:10" ht="23.1" customHeight="1" thickBot="1" x14ac:dyDescent="0.3">
      <c r="B29" s="223"/>
      <c r="C29" s="201"/>
      <c r="D29" s="202"/>
      <c r="E29" s="202"/>
      <c r="F29" s="202"/>
      <c r="G29" s="202"/>
      <c r="H29" s="203"/>
      <c r="I29" s="14">
        <v>2</v>
      </c>
      <c r="J29" s="14" t="s">
        <v>51</v>
      </c>
    </row>
    <row r="30" spans="2:10" ht="20.100000000000001" customHeight="1" thickBot="1" x14ac:dyDescent="0.3"/>
    <row r="31" spans="2:10" ht="27" customHeight="1" thickBot="1" x14ac:dyDescent="0.3">
      <c r="B31" s="13" t="s">
        <v>99</v>
      </c>
      <c r="C31" s="195"/>
      <c r="D31" s="196"/>
      <c r="E31" s="196"/>
      <c r="F31" s="196"/>
      <c r="G31" s="196"/>
      <c r="H31" s="197"/>
      <c r="I31" s="85" t="str">
        <f>IF(C31="","",LEN(C31)&amp;"/240　文字")</f>
        <v/>
      </c>
      <c r="J31" s="17"/>
    </row>
    <row r="32" spans="2:10" ht="27" customHeight="1" thickBot="1" x14ac:dyDescent="0.3">
      <c r="B32" s="15" t="s">
        <v>108</v>
      </c>
      <c r="C32" s="198"/>
      <c r="D32" s="199"/>
      <c r="E32" s="199"/>
      <c r="F32" s="199"/>
      <c r="G32" s="199"/>
      <c r="H32" s="200"/>
      <c r="I32" s="16"/>
      <c r="J32" s="17"/>
    </row>
    <row r="33" spans="2:10" ht="27" customHeight="1" thickBot="1" x14ac:dyDescent="0.3">
      <c r="B33" s="33" t="str">
        <f>IF(B34="","",VLOOKUP(B34,I37:J38,2,FALSE))</f>
        <v/>
      </c>
      <c r="C33" s="198"/>
      <c r="D33" s="199"/>
      <c r="E33" s="199"/>
      <c r="F33" s="199"/>
      <c r="G33" s="199"/>
      <c r="H33" s="200"/>
      <c r="I33" s="137" t="str">
        <f>IF(AND(B34&gt;=2,C31=""),"特記事項は記入していますか？","")</f>
        <v/>
      </c>
      <c r="J33" s="17"/>
    </row>
    <row r="34" spans="2:10" ht="23.1" customHeight="1" thickBot="1" x14ac:dyDescent="0.3">
      <c r="B34" s="221"/>
      <c r="C34" s="198"/>
      <c r="D34" s="199"/>
      <c r="E34" s="199"/>
      <c r="F34" s="199"/>
      <c r="G34" s="199"/>
      <c r="H34" s="200"/>
      <c r="I34" s="16"/>
      <c r="J34" s="17"/>
    </row>
    <row r="35" spans="2:10" ht="23.1" customHeight="1" thickBot="1" x14ac:dyDescent="0.3">
      <c r="B35" s="222"/>
      <c r="C35" s="198"/>
      <c r="D35" s="199"/>
      <c r="E35" s="199"/>
      <c r="F35" s="199"/>
      <c r="G35" s="199"/>
      <c r="H35" s="200"/>
      <c r="I35" s="11"/>
      <c r="J35" s="11"/>
    </row>
    <row r="36" spans="2:10" ht="23.1" customHeight="1" thickBot="1" x14ac:dyDescent="0.3">
      <c r="B36" s="222"/>
      <c r="C36" s="198"/>
      <c r="D36" s="199"/>
      <c r="E36" s="199"/>
      <c r="F36" s="199"/>
      <c r="G36" s="199"/>
      <c r="H36" s="200"/>
      <c r="I36" s="11"/>
      <c r="J36" s="11"/>
    </row>
    <row r="37" spans="2:10" ht="23.1" customHeight="1" thickBot="1" x14ac:dyDescent="0.3">
      <c r="B37" s="222"/>
      <c r="C37" s="198"/>
      <c r="D37" s="199"/>
      <c r="E37" s="199"/>
      <c r="F37" s="199"/>
      <c r="G37" s="199"/>
      <c r="H37" s="200"/>
      <c r="I37" s="14">
        <v>1</v>
      </c>
      <c r="J37" s="14" t="s">
        <v>114</v>
      </c>
    </row>
    <row r="38" spans="2:10" ht="23.1" customHeight="1" thickBot="1" x14ac:dyDescent="0.3">
      <c r="B38" s="223"/>
      <c r="C38" s="201"/>
      <c r="D38" s="202"/>
      <c r="E38" s="202"/>
      <c r="F38" s="202"/>
      <c r="G38" s="202"/>
      <c r="H38" s="203"/>
      <c r="I38" s="14">
        <v>2</v>
      </c>
      <c r="J38" s="14" t="s">
        <v>51</v>
      </c>
    </row>
    <row r="39" spans="2:10" ht="20.100000000000001" customHeight="1" thickBot="1" x14ac:dyDescent="0.3"/>
    <row r="40" spans="2:10" ht="27" customHeight="1" thickBot="1" x14ac:dyDescent="0.3">
      <c r="B40" s="13" t="s">
        <v>100</v>
      </c>
      <c r="C40" s="195"/>
      <c r="D40" s="196"/>
      <c r="E40" s="196"/>
      <c r="F40" s="196"/>
      <c r="G40" s="196"/>
      <c r="H40" s="197"/>
      <c r="I40" s="85" t="str">
        <f>IF(C40="","",LEN(C40)&amp;"/240　文字")</f>
        <v/>
      </c>
      <c r="J40" s="17"/>
    </row>
    <row r="41" spans="2:10" ht="27" customHeight="1" thickBot="1" x14ac:dyDescent="0.3">
      <c r="B41" s="24" t="s">
        <v>109</v>
      </c>
      <c r="C41" s="198"/>
      <c r="D41" s="199"/>
      <c r="E41" s="199"/>
      <c r="F41" s="199"/>
      <c r="G41" s="199"/>
      <c r="H41" s="200"/>
      <c r="I41" s="16"/>
      <c r="J41" s="17"/>
    </row>
    <row r="42" spans="2:10" ht="27" customHeight="1" thickBot="1" x14ac:dyDescent="0.3">
      <c r="B42" s="33" t="str">
        <f>IF(B43="","",VLOOKUP(B43,I46:J47,2,FALSE))</f>
        <v/>
      </c>
      <c r="C42" s="198"/>
      <c r="D42" s="199"/>
      <c r="E42" s="199"/>
      <c r="F42" s="199"/>
      <c r="G42" s="199"/>
      <c r="H42" s="200"/>
      <c r="I42" s="137" t="str">
        <f>IF(AND(B43&gt;=2,C40=""),"特記事項は記入していますか？","")</f>
        <v/>
      </c>
      <c r="J42" s="17"/>
    </row>
    <row r="43" spans="2:10" ht="23.1" customHeight="1" thickBot="1" x14ac:dyDescent="0.3">
      <c r="B43" s="221"/>
      <c r="C43" s="198"/>
      <c r="D43" s="199"/>
      <c r="E43" s="199"/>
      <c r="F43" s="199"/>
      <c r="G43" s="199"/>
      <c r="H43" s="200"/>
      <c r="I43" s="16"/>
      <c r="J43" s="17"/>
    </row>
    <row r="44" spans="2:10" ht="23.1" customHeight="1" thickBot="1" x14ac:dyDescent="0.3">
      <c r="B44" s="222"/>
      <c r="C44" s="198"/>
      <c r="D44" s="199"/>
      <c r="E44" s="199"/>
      <c r="F44" s="199"/>
      <c r="G44" s="199"/>
      <c r="H44" s="200"/>
      <c r="I44" s="11"/>
      <c r="J44" s="11"/>
    </row>
    <row r="45" spans="2:10" ht="23.1" customHeight="1" thickBot="1" x14ac:dyDescent="0.3">
      <c r="B45" s="222"/>
      <c r="C45" s="198"/>
      <c r="D45" s="199"/>
      <c r="E45" s="199"/>
      <c r="F45" s="199"/>
      <c r="G45" s="199"/>
      <c r="H45" s="200"/>
      <c r="I45" s="11"/>
      <c r="J45" s="11"/>
    </row>
    <row r="46" spans="2:10" ht="23.1" customHeight="1" thickBot="1" x14ac:dyDescent="0.3">
      <c r="B46" s="222"/>
      <c r="C46" s="198"/>
      <c r="D46" s="199"/>
      <c r="E46" s="199"/>
      <c r="F46" s="199"/>
      <c r="G46" s="199"/>
      <c r="H46" s="200"/>
      <c r="I46" s="14">
        <v>1</v>
      </c>
      <c r="J46" s="14" t="s">
        <v>114</v>
      </c>
    </row>
    <row r="47" spans="2:10" ht="23.1" customHeight="1" thickBot="1" x14ac:dyDescent="0.3">
      <c r="B47" s="223"/>
      <c r="C47" s="201"/>
      <c r="D47" s="202"/>
      <c r="E47" s="202"/>
      <c r="F47" s="202"/>
      <c r="G47" s="202"/>
      <c r="H47" s="203"/>
      <c r="I47" s="14">
        <v>2</v>
      </c>
      <c r="J47" s="14" t="s">
        <v>51</v>
      </c>
    </row>
    <row r="48" spans="2:10" ht="20.100000000000001" customHeight="1" thickBot="1" x14ac:dyDescent="0.3"/>
    <row r="49" spans="2:10" ht="27" customHeight="1" thickBot="1" x14ac:dyDescent="0.3">
      <c r="B49" s="13" t="s">
        <v>101</v>
      </c>
      <c r="C49" s="195"/>
      <c r="D49" s="196"/>
      <c r="E49" s="196"/>
      <c r="F49" s="196"/>
      <c r="G49" s="196"/>
      <c r="H49" s="197"/>
      <c r="I49" s="85" t="str">
        <f>IF(C49="","",LEN(C49)&amp;"/240　文字")</f>
        <v/>
      </c>
      <c r="J49" s="17"/>
    </row>
    <row r="50" spans="2:10" ht="27" customHeight="1" thickBot="1" x14ac:dyDescent="0.3">
      <c r="B50" s="24" t="s">
        <v>110</v>
      </c>
      <c r="C50" s="198"/>
      <c r="D50" s="199"/>
      <c r="E50" s="199"/>
      <c r="F50" s="199"/>
      <c r="G50" s="199"/>
      <c r="H50" s="200"/>
      <c r="I50" s="16"/>
      <c r="J50" s="17"/>
    </row>
    <row r="51" spans="2:10" ht="27" customHeight="1" thickBot="1" x14ac:dyDescent="0.3">
      <c r="B51" s="33" t="str">
        <f>IF(B52="","",VLOOKUP(B52,I55:J56,2,FALSE))</f>
        <v/>
      </c>
      <c r="C51" s="198"/>
      <c r="D51" s="199"/>
      <c r="E51" s="199"/>
      <c r="F51" s="199"/>
      <c r="G51" s="199"/>
      <c r="H51" s="200"/>
      <c r="I51" s="137" t="str">
        <f>IF(AND(B52&gt;=2,C49=""),"特記事項は記入していますか？","")</f>
        <v/>
      </c>
      <c r="J51" s="17"/>
    </row>
    <row r="52" spans="2:10" ht="23.1" customHeight="1" thickBot="1" x14ac:dyDescent="0.3">
      <c r="B52" s="221"/>
      <c r="C52" s="198"/>
      <c r="D52" s="199"/>
      <c r="E52" s="199"/>
      <c r="F52" s="199"/>
      <c r="G52" s="199"/>
      <c r="H52" s="200"/>
      <c r="I52" s="16"/>
      <c r="J52" s="17"/>
    </row>
    <row r="53" spans="2:10" ht="23.1" customHeight="1" thickBot="1" x14ac:dyDescent="0.3">
      <c r="B53" s="222"/>
      <c r="C53" s="198"/>
      <c r="D53" s="199"/>
      <c r="E53" s="199"/>
      <c r="F53" s="199"/>
      <c r="G53" s="199"/>
      <c r="H53" s="200"/>
      <c r="I53" s="11"/>
      <c r="J53" s="11"/>
    </row>
    <row r="54" spans="2:10" ht="23.1" customHeight="1" thickBot="1" x14ac:dyDescent="0.3">
      <c r="B54" s="222"/>
      <c r="C54" s="198"/>
      <c r="D54" s="199"/>
      <c r="E54" s="199"/>
      <c r="F54" s="199"/>
      <c r="G54" s="199"/>
      <c r="H54" s="200"/>
      <c r="I54" s="11"/>
      <c r="J54" s="11"/>
    </row>
    <row r="55" spans="2:10" ht="23.1" customHeight="1" thickBot="1" x14ac:dyDescent="0.3">
      <c r="B55" s="222"/>
      <c r="C55" s="198"/>
      <c r="D55" s="199"/>
      <c r="E55" s="199"/>
      <c r="F55" s="199"/>
      <c r="G55" s="199"/>
      <c r="H55" s="200"/>
      <c r="I55" s="14">
        <v>1</v>
      </c>
      <c r="J55" s="14" t="s">
        <v>114</v>
      </c>
    </row>
    <row r="56" spans="2:10" ht="23.1" customHeight="1" thickBot="1" x14ac:dyDescent="0.3">
      <c r="B56" s="223"/>
      <c r="C56" s="201"/>
      <c r="D56" s="202"/>
      <c r="E56" s="202"/>
      <c r="F56" s="202"/>
      <c r="G56" s="202"/>
      <c r="H56" s="203"/>
      <c r="I56" s="14">
        <v>2</v>
      </c>
      <c r="J56" s="14" t="s">
        <v>51</v>
      </c>
    </row>
    <row r="57" spans="2:10" ht="20.100000000000001" customHeight="1" thickBot="1" x14ac:dyDescent="0.3"/>
    <row r="58" spans="2:10" ht="27" customHeight="1" thickBot="1" x14ac:dyDescent="0.3">
      <c r="B58" s="13" t="s">
        <v>102</v>
      </c>
      <c r="C58" s="195"/>
      <c r="D58" s="196"/>
      <c r="E58" s="196"/>
      <c r="F58" s="196"/>
      <c r="G58" s="196"/>
      <c r="H58" s="197"/>
      <c r="I58" s="85" t="str">
        <f>IF(C58="","",LEN(C58)&amp;"/240　文字")</f>
        <v/>
      </c>
      <c r="J58" s="17"/>
    </row>
    <row r="59" spans="2:10" ht="27" customHeight="1" thickBot="1" x14ac:dyDescent="0.3">
      <c r="B59" s="26" t="s">
        <v>111</v>
      </c>
      <c r="C59" s="198"/>
      <c r="D59" s="199"/>
      <c r="E59" s="199"/>
      <c r="F59" s="199"/>
      <c r="G59" s="199"/>
      <c r="H59" s="200"/>
      <c r="I59" s="16"/>
      <c r="J59" s="17"/>
    </row>
    <row r="60" spans="2:10" ht="27" customHeight="1" thickBot="1" x14ac:dyDescent="0.3">
      <c r="B60" s="33" t="str">
        <f>IF(B61="","",VLOOKUP(B61,I64:J65,2,FALSE))</f>
        <v/>
      </c>
      <c r="C60" s="198"/>
      <c r="D60" s="199"/>
      <c r="E60" s="199"/>
      <c r="F60" s="199"/>
      <c r="G60" s="199"/>
      <c r="H60" s="200"/>
      <c r="I60" s="137" t="str">
        <f>IF(AND(B61&gt;=2,C58=""),"特記事項は記入していますか？","")</f>
        <v/>
      </c>
      <c r="J60" s="17"/>
    </row>
    <row r="61" spans="2:10" ht="23.1" customHeight="1" thickBot="1" x14ac:dyDescent="0.3">
      <c r="B61" s="221"/>
      <c r="C61" s="198"/>
      <c r="D61" s="199"/>
      <c r="E61" s="199"/>
      <c r="F61" s="199"/>
      <c r="G61" s="199"/>
      <c r="H61" s="200"/>
      <c r="I61" s="16"/>
      <c r="J61" s="17"/>
    </row>
    <row r="62" spans="2:10" ht="23.1" customHeight="1" thickBot="1" x14ac:dyDescent="0.3">
      <c r="B62" s="222"/>
      <c r="C62" s="198"/>
      <c r="D62" s="199"/>
      <c r="E62" s="199"/>
      <c r="F62" s="199"/>
      <c r="G62" s="199"/>
      <c r="H62" s="200"/>
      <c r="I62" s="11"/>
      <c r="J62" s="11"/>
    </row>
    <row r="63" spans="2:10" ht="23.1" customHeight="1" thickBot="1" x14ac:dyDescent="0.3">
      <c r="B63" s="222"/>
      <c r="C63" s="198"/>
      <c r="D63" s="199"/>
      <c r="E63" s="199"/>
      <c r="F63" s="199"/>
      <c r="G63" s="199"/>
      <c r="H63" s="200"/>
      <c r="I63" s="11"/>
      <c r="J63" s="11"/>
    </row>
    <row r="64" spans="2:10" ht="23.1" customHeight="1" thickBot="1" x14ac:dyDescent="0.3">
      <c r="B64" s="222"/>
      <c r="C64" s="198"/>
      <c r="D64" s="199"/>
      <c r="E64" s="199"/>
      <c r="F64" s="199"/>
      <c r="G64" s="199"/>
      <c r="H64" s="200"/>
      <c r="I64" s="14">
        <v>1</v>
      </c>
      <c r="J64" s="14" t="s">
        <v>114</v>
      </c>
    </row>
    <row r="65" spans="2:10" ht="23.1" customHeight="1" thickBot="1" x14ac:dyDescent="0.3">
      <c r="B65" s="223"/>
      <c r="C65" s="201"/>
      <c r="D65" s="202"/>
      <c r="E65" s="202"/>
      <c r="F65" s="202"/>
      <c r="G65" s="202"/>
      <c r="H65" s="203"/>
      <c r="I65" s="14">
        <v>2</v>
      </c>
      <c r="J65" s="14" t="s">
        <v>51</v>
      </c>
    </row>
    <row r="66" spans="2:10" ht="20.100000000000001" customHeight="1" thickBot="1" x14ac:dyDescent="0.3">
      <c r="J66" s="11"/>
    </row>
    <row r="67" spans="2:10" ht="27" customHeight="1" thickBot="1" x14ac:dyDescent="0.3">
      <c r="B67" s="13" t="s">
        <v>103</v>
      </c>
      <c r="C67" s="195"/>
      <c r="D67" s="196"/>
      <c r="E67" s="196"/>
      <c r="F67" s="196"/>
      <c r="G67" s="196"/>
      <c r="H67" s="197"/>
      <c r="I67" s="85" t="str">
        <f>IF(C67="","",LEN(C67)&amp;"/240　文字")</f>
        <v/>
      </c>
    </row>
    <row r="68" spans="2:10" ht="27" customHeight="1" thickBot="1" x14ac:dyDescent="0.3">
      <c r="B68" s="15" t="s">
        <v>112</v>
      </c>
      <c r="C68" s="198"/>
      <c r="D68" s="199"/>
      <c r="E68" s="199"/>
      <c r="F68" s="199"/>
      <c r="G68" s="199"/>
      <c r="H68" s="200"/>
      <c r="I68" s="14"/>
    </row>
    <row r="69" spans="2:10" ht="27" customHeight="1" thickBot="1" x14ac:dyDescent="0.3">
      <c r="B69" s="33" t="str">
        <f>IF(B70="","",VLOOKUP(B70,I72:J74,2,FALSE))</f>
        <v/>
      </c>
      <c r="C69" s="198"/>
      <c r="D69" s="199"/>
      <c r="E69" s="199"/>
      <c r="F69" s="199"/>
      <c r="G69" s="199"/>
      <c r="H69" s="200"/>
      <c r="I69" s="137" t="str">
        <f>IF(AND(B70&gt;=2,C67=""),"特記事項は記入していますか？","")</f>
        <v/>
      </c>
    </row>
    <row r="70" spans="2:10" ht="23.1" customHeight="1" thickBot="1" x14ac:dyDescent="0.3">
      <c r="B70" s="221"/>
      <c r="C70" s="198"/>
      <c r="D70" s="199"/>
      <c r="E70" s="199"/>
      <c r="F70" s="199"/>
      <c r="G70" s="199"/>
      <c r="H70" s="200"/>
      <c r="I70" s="14"/>
    </row>
    <row r="71" spans="2:10" ht="23.1" customHeight="1" thickBot="1" x14ac:dyDescent="0.3">
      <c r="B71" s="222"/>
      <c r="C71" s="198"/>
      <c r="D71" s="199"/>
      <c r="E71" s="199"/>
      <c r="F71" s="199"/>
      <c r="G71" s="199"/>
      <c r="H71" s="200"/>
      <c r="I71" s="14"/>
    </row>
    <row r="72" spans="2:10" ht="23.1" customHeight="1" thickBot="1" x14ac:dyDescent="0.3">
      <c r="B72" s="222"/>
      <c r="C72" s="198"/>
      <c r="D72" s="199"/>
      <c r="E72" s="199"/>
      <c r="F72" s="199"/>
      <c r="G72" s="199"/>
      <c r="H72" s="200"/>
      <c r="I72" s="14">
        <v>1</v>
      </c>
      <c r="J72" s="14" t="s">
        <v>117</v>
      </c>
    </row>
    <row r="73" spans="2:10" ht="23.1" customHeight="1" thickBot="1" x14ac:dyDescent="0.3">
      <c r="B73" s="222"/>
      <c r="C73" s="198"/>
      <c r="D73" s="199"/>
      <c r="E73" s="199"/>
      <c r="F73" s="199"/>
      <c r="G73" s="199"/>
      <c r="H73" s="200"/>
      <c r="I73" s="14">
        <v>2</v>
      </c>
      <c r="J73" s="14" t="s">
        <v>118</v>
      </c>
    </row>
    <row r="74" spans="2:10" ht="23.1" customHeight="1" thickBot="1" x14ac:dyDescent="0.3">
      <c r="B74" s="223"/>
      <c r="C74" s="201"/>
      <c r="D74" s="202"/>
      <c r="E74" s="202"/>
      <c r="F74" s="202"/>
      <c r="G74" s="202"/>
      <c r="H74" s="203"/>
      <c r="I74" s="14">
        <v>3</v>
      </c>
      <c r="J74" s="14" t="s">
        <v>420</v>
      </c>
    </row>
    <row r="75" spans="2:10" ht="20.100000000000001" customHeight="1" thickBot="1" x14ac:dyDescent="0.3"/>
    <row r="76" spans="2:10" ht="27" customHeight="1" thickBot="1" x14ac:dyDescent="0.3">
      <c r="B76" s="13" t="s">
        <v>104</v>
      </c>
      <c r="C76" s="195"/>
      <c r="D76" s="196"/>
      <c r="E76" s="196"/>
      <c r="F76" s="196"/>
      <c r="G76" s="196"/>
      <c r="H76" s="197"/>
      <c r="I76" s="85" t="str">
        <f>IF(C76="","",LEN(C76)&amp;"/240　文字")</f>
        <v/>
      </c>
    </row>
    <row r="77" spans="2:10" ht="27" customHeight="1" thickBot="1" x14ac:dyDescent="0.3">
      <c r="B77" s="24" t="s">
        <v>113</v>
      </c>
      <c r="C77" s="198"/>
      <c r="D77" s="199"/>
      <c r="E77" s="199"/>
      <c r="F77" s="199"/>
      <c r="G77" s="199"/>
      <c r="H77" s="200"/>
      <c r="I77" s="14"/>
    </row>
    <row r="78" spans="2:10" ht="27" customHeight="1" thickBot="1" x14ac:dyDescent="0.3">
      <c r="B78" s="33" t="str">
        <f>IF(B79="","",VLOOKUP(B79,I81:J83,2,FALSE))</f>
        <v/>
      </c>
      <c r="C78" s="198"/>
      <c r="D78" s="199"/>
      <c r="E78" s="199"/>
      <c r="F78" s="199"/>
      <c r="G78" s="199"/>
      <c r="H78" s="200"/>
      <c r="I78" s="137" t="str">
        <f>IF(AND(B79&gt;=2,C76=""),"特記事項は記入していますか？","")</f>
        <v/>
      </c>
    </row>
    <row r="79" spans="2:10" ht="23.1" customHeight="1" thickBot="1" x14ac:dyDescent="0.3">
      <c r="B79" s="221"/>
      <c r="C79" s="198"/>
      <c r="D79" s="199"/>
      <c r="E79" s="199"/>
      <c r="F79" s="199"/>
      <c r="G79" s="199"/>
      <c r="H79" s="200"/>
      <c r="I79" s="14"/>
    </row>
    <row r="80" spans="2:10" ht="23.1" customHeight="1" thickBot="1" x14ac:dyDescent="0.3">
      <c r="B80" s="222"/>
      <c r="C80" s="198"/>
      <c r="D80" s="199"/>
      <c r="E80" s="199"/>
      <c r="F80" s="199"/>
      <c r="G80" s="199"/>
      <c r="H80" s="200"/>
      <c r="I80" s="14"/>
    </row>
    <row r="81" spans="2:10" ht="23.1" customHeight="1" thickBot="1" x14ac:dyDescent="0.3">
      <c r="B81" s="222"/>
      <c r="C81" s="198"/>
      <c r="D81" s="199"/>
      <c r="E81" s="199"/>
      <c r="F81" s="199"/>
      <c r="G81" s="199"/>
      <c r="H81" s="200"/>
      <c r="I81" s="14">
        <v>1</v>
      </c>
      <c r="J81" s="14" t="s">
        <v>117</v>
      </c>
    </row>
    <row r="82" spans="2:10" ht="23.1" customHeight="1" thickBot="1" x14ac:dyDescent="0.3">
      <c r="B82" s="222"/>
      <c r="C82" s="198"/>
      <c r="D82" s="199"/>
      <c r="E82" s="199"/>
      <c r="F82" s="199"/>
      <c r="G82" s="199"/>
      <c r="H82" s="200"/>
      <c r="I82" s="14">
        <v>2</v>
      </c>
      <c r="J82" s="14" t="s">
        <v>118</v>
      </c>
    </row>
    <row r="83" spans="2:10" ht="23.1" customHeight="1" thickBot="1" x14ac:dyDescent="0.3">
      <c r="B83" s="223"/>
      <c r="C83" s="201"/>
      <c r="D83" s="202"/>
      <c r="E83" s="202"/>
      <c r="F83" s="202"/>
      <c r="G83" s="202"/>
      <c r="H83" s="203"/>
      <c r="I83" s="14">
        <v>3</v>
      </c>
      <c r="J83" s="14" t="s">
        <v>420</v>
      </c>
    </row>
    <row r="84" spans="2:10" ht="20.100000000000001" customHeight="1" x14ac:dyDescent="0.25"/>
  </sheetData>
  <sheetProtection selectLockedCells="1"/>
  <mergeCells count="23">
    <mergeCell ref="C1:H1"/>
    <mergeCell ref="B7:B11"/>
    <mergeCell ref="B16:B20"/>
    <mergeCell ref="C58:H65"/>
    <mergeCell ref="B61:B65"/>
    <mergeCell ref="C13:H20"/>
    <mergeCell ref="C4:H11"/>
    <mergeCell ref="C2:D3"/>
    <mergeCell ref="E2:F3"/>
    <mergeCell ref="G2:H3"/>
    <mergeCell ref="I7:J7"/>
    <mergeCell ref="C67:H74"/>
    <mergeCell ref="B70:B74"/>
    <mergeCell ref="C76:H83"/>
    <mergeCell ref="B79:B83"/>
    <mergeCell ref="B25:B29"/>
    <mergeCell ref="C31:H38"/>
    <mergeCell ref="B34:B38"/>
    <mergeCell ref="C40:H47"/>
    <mergeCell ref="B43:B47"/>
    <mergeCell ref="C49:H56"/>
    <mergeCell ref="B52:B56"/>
    <mergeCell ref="C22:H29"/>
  </mergeCells>
  <phoneticPr fontId="1"/>
  <conditionalFormatting sqref="B7:B11 B16:B20 B25:B29 B34:B38 B43:B47 B52:B56 B61:B65 B70:B74 B79:B83">
    <cfRule type="cellIs" dxfId="19" priority="3" operator="lessThan">
      <formula>1</formula>
    </cfRule>
  </conditionalFormatting>
  <dataValidations count="4">
    <dataValidation type="whole" imeMode="halfAlpha" allowBlank="1" showInputMessage="1" showErrorMessage="1" sqref="B7:B11" xr:uid="{00000000-0002-0000-0300-000000000000}">
      <formula1>1</formula1>
      <formula2>4</formula2>
    </dataValidation>
    <dataValidation type="whole" imeMode="halfAlpha" allowBlank="1" showInputMessage="1" showErrorMessage="1" sqref="B16:B20 B25:B29 B34:B38 B43:B47 B52:B56 B61:B65" xr:uid="{00000000-0002-0000-0300-000001000000}">
      <formula1>1</formula1>
      <formula2>2</formula2>
    </dataValidation>
    <dataValidation type="whole" imeMode="halfAlpha" allowBlank="1" showInputMessage="1" showErrorMessage="1" sqref="B70:B74 B79:B83" xr:uid="{00000000-0002-0000-0300-000002000000}">
      <formula1>1</formula1>
      <formula2>3</formula2>
    </dataValidation>
    <dataValidation type="textLength" imeMode="hiragana" operator="lessThanOrEqual" allowBlank="1" showInputMessage="1" showErrorMessage="1" sqref="C4:H11 C13:H20 C22:H29 C31:H38 C40:H47 C49:H56 C58:H65 C67:H74 C76:H83" xr:uid="{00000000-0002-0000-0300-000003000000}">
      <formula1>240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FF66"/>
  </sheetPr>
  <dimension ref="B1:M137"/>
  <sheetViews>
    <sheetView workbookViewId="0">
      <pane ySplit="3" topLeftCell="A4" activePane="bottomLeft" state="frozen"/>
      <selection pane="bottomLeft" activeCell="B141" sqref="B141"/>
    </sheetView>
  </sheetViews>
  <sheetFormatPr defaultColWidth="9" defaultRowHeight="12.75" x14ac:dyDescent="0.25"/>
  <cols>
    <col min="1" max="1" width="2" style="11" customWidth="1"/>
    <col min="2" max="2" width="10.6640625" style="11" customWidth="1"/>
    <col min="3" max="8" width="9" style="11"/>
    <col min="9" max="9" width="2.33203125" style="10" bestFit="1" customWidth="1"/>
    <col min="10" max="13" width="9" style="10"/>
    <col min="14" max="16384" width="9" style="11"/>
  </cols>
  <sheetData>
    <row r="1" spans="2:10" ht="21" x14ac:dyDescent="0.25">
      <c r="B1" s="25"/>
      <c r="C1" s="224" t="s">
        <v>149</v>
      </c>
      <c r="D1" s="224"/>
      <c r="E1" s="224"/>
      <c r="F1" s="224"/>
      <c r="G1" s="224"/>
      <c r="H1" s="224"/>
    </row>
    <row r="2" spans="2:10" x14ac:dyDescent="0.25">
      <c r="C2" s="227">
        <f>基本情報!$B$2</f>
        <v>0</v>
      </c>
      <c r="D2" s="227"/>
      <c r="E2" s="225">
        <f>基本情報!$B$3</f>
        <v>0</v>
      </c>
      <c r="F2" s="225"/>
      <c r="G2" s="229" t="str">
        <f>IF(計算シート!$M$78=0,"",計算シート!$M$78&amp;"/48　特記入力済み")</f>
        <v/>
      </c>
      <c r="H2" s="229"/>
    </row>
    <row r="3" spans="2:10" ht="13.15" thickBot="1" x14ac:dyDescent="0.3">
      <c r="B3" s="12"/>
      <c r="C3" s="228"/>
      <c r="D3" s="228"/>
      <c r="E3" s="226"/>
      <c r="F3" s="226"/>
      <c r="G3" s="230"/>
      <c r="H3" s="230"/>
    </row>
    <row r="4" spans="2:10" ht="27" customHeight="1" thickBot="1" x14ac:dyDescent="0.3">
      <c r="B4" s="13" t="s">
        <v>120</v>
      </c>
      <c r="C4" s="195"/>
      <c r="D4" s="196"/>
      <c r="E4" s="196"/>
      <c r="F4" s="196"/>
      <c r="G4" s="196"/>
      <c r="H4" s="197"/>
      <c r="I4" s="85" t="str">
        <f>IF(C4="","",LEN(C4)&amp;"/240　文字")</f>
        <v/>
      </c>
    </row>
    <row r="5" spans="2:10" ht="27" customHeight="1" thickBot="1" x14ac:dyDescent="0.3">
      <c r="B5" s="15" t="s">
        <v>133</v>
      </c>
      <c r="C5" s="198"/>
      <c r="D5" s="199"/>
      <c r="E5" s="199"/>
      <c r="F5" s="199"/>
      <c r="G5" s="199"/>
      <c r="H5" s="200"/>
      <c r="I5" s="14"/>
    </row>
    <row r="6" spans="2:10" ht="27" customHeight="1" thickBot="1" x14ac:dyDescent="0.3">
      <c r="B6" s="32" t="str">
        <f>IF(B7="","",VLOOKUP(B7,I9:J11,2,FALSE))</f>
        <v/>
      </c>
      <c r="C6" s="198"/>
      <c r="D6" s="199"/>
      <c r="E6" s="199"/>
      <c r="F6" s="199"/>
      <c r="G6" s="199"/>
      <c r="H6" s="200"/>
      <c r="I6" s="137" t="str">
        <f>IF(AND(B7&gt;=2,C4=""),"特記事項は記入していますか？","")</f>
        <v/>
      </c>
      <c r="J6" s="17"/>
    </row>
    <row r="7" spans="2:10" ht="23.1" customHeight="1" thickBot="1" x14ac:dyDescent="0.3">
      <c r="B7" s="221"/>
      <c r="C7" s="198"/>
      <c r="D7" s="199"/>
      <c r="E7" s="199"/>
      <c r="F7" s="199"/>
      <c r="G7" s="199"/>
      <c r="H7" s="200"/>
      <c r="I7" s="231"/>
      <c r="J7" s="231"/>
    </row>
    <row r="8" spans="2:10" ht="23.1" customHeight="1" thickBot="1" x14ac:dyDescent="0.3">
      <c r="B8" s="222"/>
      <c r="C8" s="198"/>
      <c r="D8" s="199"/>
      <c r="E8" s="199"/>
      <c r="F8" s="199"/>
      <c r="G8" s="199"/>
      <c r="H8" s="200"/>
      <c r="I8" s="11"/>
      <c r="J8" s="11"/>
    </row>
    <row r="9" spans="2:10" ht="23.1" customHeight="1" thickBot="1" x14ac:dyDescent="0.3">
      <c r="B9" s="222"/>
      <c r="C9" s="198"/>
      <c r="D9" s="199"/>
      <c r="E9" s="199"/>
      <c r="F9" s="199"/>
      <c r="G9" s="199"/>
      <c r="H9" s="200"/>
      <c r="I9" s="14">
        <v>1</v>
      </c>
      <c r="J9" s="14" t="s">
        <v>146</v>
      </c>
    </row>
    <row r="10" spans="2:10" ht="23.1" customHeight="1" thickBot="1" x14ac:dyDescent="0.3">
      <c r="B10" s="222"/>
      <c r="C10" s="198"/>
      <c r="D10" s="199"/>
      <c r="E10" s="199"/>
      <c r="F10" s="199"/>
      <c r="G10" s="199"/>
      <c r="H10" s="200"/>
      <c r="I10" s="14">
        <v>2</v>
      </c>
      <c r="J10" s="14" t="s">
        <v>147</v>
      </c>
    </row>
    <row r="11" spans="2:10" ht="23.1" customHeight="1" thickBot="1" x14ac:dyDescent="0.3">
      <c r="B11" s="223"/>
      <c r="C11" s="201"/>
      <c r="D11" s="202"/>
      <c r="E11" s="202"/>
      <c r="F11" s="202"/>
      <c r="G11" s="202"/>
      <c r="H11" s="203"/>
      <c r="I11" s="14">
        <v>3</v>
      </c>
      <c r="J11" s="14" t="s">
        <v>148</v>
      </c>
    </row>
    <row r="12" spans="2:10" ht="20.100000000000001" customHeight="1" thickBot="1" x14ac:dyDescent="0.3">
      <c r="I12" s="17"/>
      <c r="J12" s="17"/>
    </row>
    <row r="13" spans="2:10" ht="27" customHeight="1" thickBot="1" x14ac:dyDescent="0.3">
      <c r="B13" s="13" t="s">
        <v>121</v>
      </c>
      <c r="C13" s="195"/>
      <c r="D13" s="196"/>
      <c r="E13" s="196"/>
      <c r="F13" s="196"/>
      <c r="G13" s="196"/>
      <c r="H13" s="197"/>
      <c r="I13" s="85" t="str">
        <f>IF(C13="","",LEN(C13)&amp;"/240　文字")</f>
        <v/>
      </c>
    </row>
    <row r="14" spans="2:10" ht="27" customHeight="1" thickBot="1" x14ac:dyDescent="0.3">
      <c r="B14" s="24" t="s">
        <v>134</v>
      </c>
      <c r="C14" s="198"/>
      <c r="D14" s="199"/>
      <c r="E14" s="199"/>
      <c r="F14" s="199"/>
      <c r="G14" s="199"/>
      <c r="H14" s="200"/>
      <c r="I14" s="14"/>
    </row>
    <row r="15" spans="2:10" ht="27" customHeight="1" thickBot="1" x14ac:dyDescent="0.3">
      <c r="B15" s="32" t="str">
        <f>IF(B16="","",VLOOKUP(B16,I18:J20,2,FALSE))</f>
        <v/>
      </c>
      <c r="C15" s="198"/>
      <c r="D15" s="199"/>
      <c r="E15" s="199"/>
      <c r="F15" s="199"/>
      <c r="G15" s="199"/>
      <c r="H15" s="200"/>
      <c r="I15" s="137" t="str">
        <f>IF(AND(B16&gt;=2,C13=""),"特記事項は記入していますか？","")</f>
        <v/>
      </c>
      <c r="J15" s="17"/>
    </row>
    <row r="16" spans="2:10" ht="23.1" customHeight="1" thickBot="1" x14ac:dyDescent="0.3">
      <c r="B16" s="221"/>
      <c r="C16" s="198"/>
      <c r="D16" s="199"/>
      <c r="E16" s="199"/>
      <c r="F16" s="199"/>
      <c r="G16" s="199"/>
      <c r="H16" s="200"/>
      <c r="I16" s="231"/>
      <c r="J16" s="231"/>
    </row>
    <row r="17" spans="2:10" ht="23.1" customHeight="1" thickBot="1" x14ac:dyDescent="0.3">
      <c r="B17" s="222"/>
      <c r="C17" s="198"/>
      <c r="D17" s="199"/>
      <c r="E17" s="199"/>
      <c r="F17" s="199"/>
      <c r="G17" s="199"/>
      <c r="H17" s="200"/>
      <c r="I17" s="11"/>
      <c r="J17" s="11"/>
    </row>
    <row r="18" spans="2:10" ht="23.1" customHeight="1" thickBot="1" x14ac:dyDescent="0.3">
      <c r="B18" s="222"/>
      <c r="C18" s="198"/>
      <c r="D18" s="199"/>
      <c r="E18" s="199"/>
      <c r="F18" s="199"/>
      <c r="G18" s="199"/>
      <c r="H18" s="200"/>
      <c r="I18" s="14">
        <v>1</v>
      </c>
      <c r="J18" s="14" t="s">
        <v>146</v>
      </c>
    </row>
    <row r="19" spans="2:10" ht="23.1" customHeight="1" thickBot="1" x14ac:dyDescent="0.3">
      <c r="B19" s="222"/>
      <c r="C19" s="198"/>
      <c r="D19" s="199"/>
      <c r="E19" s="199"/>
      <c r="F19" s="199"/>
      <c r="G19" s="199"/>
      <c r="H19" s="200"/>
      <c r="I19" s="14">
        <v>2</v>
      </c>
      <c r="J19" s="14" t="s">
        <v>147</v>
      </c>
    </row>
    <row r="20" spans="2:10" ht="23.1" customHeight="1" thickBot="1" x14ac:dyDescent="0.3">
      <c r="B20" s="223"/>
      <c r="C20" s="201"/>
      <c r="D20" s="202"/>
      <c r="E20" s="202"/>
      <c r="F20" s="202"/>
      <c r="G20" s="202"/>
      <c r="H20" s="203"/>
      <c r="I20" s="14">
        <v>3</v>
      </c>
      <c r="J20" s="14" t="s">
        <v>148</v>
      </c>
    </row>
    <row r="21" spans="2:10" ht="20.100000000000001" customHeight="1" thickBot="1" x14ac:dyDescent="0.3"/>
    <row r="22" spans="2:10" ht="27" customHeight="1" thickBot="1" x14ac:dyDescent="0.3">
      <c r="B22" s="13" t="s">
        <v>135</v>
      </c>
      <c r="C22" s="195"/>
      <c r="D22" s="196"/>
      <c r="E22" s="196"/>
      <c r="F22" s="196"/>
      <c r="G22" s="196"/>
      <c r="H22" s="197"/>
      <c r="I22" s="85" t="str">
        <f>IF(C22="","",LEN(C22)&amp;"/240　文字")</f>
        <v/>
      </c>
    </row>
    <row r="23" spans="2:10" ht="27" customHeight="1" thickBot="1" x14ac:dyDescent="0.3">
      <c r="B23" s="26" t="s">
        <v>193</v>
      </c>
      <c r="C23" s="198"/>
      <c r="D23" s="199"/>
      <c r="E23" s="199"/>
      <c r="F23" s="199"/>
      <c r="G23" s="199"/>
      <c r="H23" s="200"/>
      <c r="I23" s="14"/>
    </row>
    <row r="24" spans="2:10" ht="27" customHeight="1" thickBot="1" x14ac:dyDescent="0.3">
      <c r="B24" s="32" t="str">
        <f>IF(B25="","",VLOOKUP(B25,I27:J29,2,FALSE))</f>
        <v/>
      </c>
      <c r="C24" s="198"/>
      <c r="D24" s="199"/>
      <c r="E24" s="199"/>
      <c r="F24" s="199"/>
      <c r="G24" s="199"/>
      <c r="H24" s="200"/>
      <c r="I24" s="137" t="str">
        <f>IF(AND(B25&gt;=2,C22=""),"特記事項は記入していますか？","")</f>
        <v/>
      </c>
      <c r="J24" s="17"/>
    </row>
    <row r="25" spans="2:10" ht="23.1" customHeight="1" thickBot="1" x14ac:dyDescent="0.3">
      <c r="B25" s="221"/>
      <c r="C25" s="198"/>
      <c r="D25" s="199"/>
      <c r="E25" s="199"/>
      <c r="F25" s="199"/>
      <c r="G25" s="199"/>
      <c r="H25" s="200"/>
      <c r="I25" s="231"/>
      <c r="J25" s="231"/>
    </row>
    <row r="26" spans="2:10" ht="23.1" customHeight="1" thickBot="1" x14ac:dyDescent="0.3">
      <c r="B26" s="222"/>
      <c r="C26" s="198"/>
      <c r="D26" s="199"/>
      <c r="E26" s="199"/>
      <c r="F26" s="199"/>
      <c r="G26" s="199"/>
      <c r="H26" s="200"/>
      <c r="I26" s="11"/>
      <c r="J26" s="11"/>
    </row>
    <row r="27" spans="2:10" ht="23.1" customHeight="1" thickBot="1" x14ac:dyDescent="0.3">
      <c r="B27" s="222"/>
      <c r="C27" s="198"/>
      <c r="D27" s="199"/>
      <c r="E27" s="199"/>
      <c r="F27" s="199"/>
      <c r="G27" s="199"/>
      <c r="H27" s="200"/>
      <c r="I27" s="14">
        <v>1</v>
      </c>
      <c r="J27" s="14" t="s">
        <v>146</v>
      </c>
    </row>
    <row r="28" spans="2:10" ht="23.1" customHeight="1" thickBot="1" x14ac:dyDescent="0.3">
      <c r="B28" s="222"/>
      <c r="C28" s="198"/>
      <c r="D28" s="199"/>
      <c r="E28" s="199"/>
      <c r="F28" s="199"/>
      <c r="G28" s="199"/>
      <c r="H28" s="200"/>
      <c r="I28" s="14">
        <v>2</v>
      </c>
      <c r="J28" s="14" t="s">
        <v>147</v>
      </c>
    </row>
    <row r="29" spans="2:10" ht="23.1" customHeight="1" thickBot="1" x14ac:dyDescent="0.3">
      <c r="B29" s="223"/>
      <c r="C29" s="201"/>
      <c r="D29" s="202"/>
      <c r="E29" s="202"/>
      <c r="F29" s="202"/>
      <c r="G29" s="202"/>
      <c r="H29" s="203"/>
      <c r="I29" s="14">
        <v>3</v>
      </c>
      <c r="J29" s="14" t="s">
        <v>148</v>
      </c>
    </row>
    <row r="30" spans="2:10" ht="20.100000000000001" customHeight="1" thickBot="1" x14ac:dyDescent="0.3"/>
    <row r="31" spans="2:10" ht="27" customHeight="1" thickBot="1" x14ac:dyDescent="0.3">
      <c r="B31" s="13" t="s">
        <v>119</v>
      </c>
      <c r="C31" s="195"/>
      <c r="D31" s="196"/>
      <c r="E31" s="196"/>
      <c r="F31" s="196"/>
      <c r="G31" s="196"/>
      <c r="H31" s="197"/>
      <c r="I31" s="85" t="str">
        <f>IF(C31="","",LEN(C31)&amp;"/240　文字")</f>
        <v/>
      </c>
    </row>
    <row r="32" spans="2:10" ht="27" customHeight="1" thickBot="1" x14ac:dyDescent="0.3">
      <c r="B32" s="15" t="s">
        <v>136</v>
      </c>
      <c r="C32" s="198"/>
      <c r="D32" s="199"/>
      <c r="E32" s="199"/>
      <c r="F32" s="199"/>
      <c r="G32" s="199"/>
      <c r="H32" s="200"/>
      <c r="I32" s="14"/>
    </row>
    <row r="33" spans="2:10" ht="27" customHeight="1" thickBot="1" x14ac:dyDescent="0.3">
      <c r="B33" s="32" t="str">
        <f>IF(B34="","",VLOOKUP(B34,I36:J38,2,FALSE))</f>
        <v/>
      </c>
      <c r="C33" s="198"/>
      <c r="D33" s="199"/>
      <c r="E33" s="199"/>
      <c r="F33" s="199"/>
      <c r="G33" s="199"/>
      <c r="H33" s="200"/>
      <c r="I33" s="137" t="str">
        <f>IF(AND(B34&gt;=2,C31=""),"特記事項は記入していますか？","")</f>
        <v/>
      </c>
      <c r="J33" s="17"/>
    </row>
    <row r="34" spans="2:10" ht="23.1" customHeight="1" thickBot="1" x14ac:dyDescent="0.3">
      <c r="B34" s="221"/>
      <c r="C34" s="198"/>
      <c r="D34" s="199"/>
      <c r="E34" s="199"/>
      <c r="F34" s="199"/>
      <c r="G34" s="199"/>
      <c r="H34" s="200"/>
      <c r="I34" s="231"/>
      <c r="J34" s="231"/>
    </row>
    <row r="35" spans="2:10" ht="23.1" customHeight="1" thickBot="1" x14ac:dyDescent="0.3">
      <c r="B35" s="222"/>
      <c r="C35" s="198"/>
      <c r="D35" s="199"/>
      <c r="E35" s="199"/>
      <c r="F35" s="199"/>
      <c r="G35" s="199"/>
      <c r="H35" s="200"/>
      <c r="I35" s="11"/>
      <c r="J35" s="11"/>
    </row>
    <row r="36" spans="2:10" ht="23.1" customHeight="1" thickBot="1" x14ac:dyDescent="0.3">
      <c r="B36" s="222"/>
      <c r="C36" s="198"/>
      <c r="D36" s="199"/>
      <c r="E36" s="199"/>
      <c r="F36" s="199"/>
      <c r="G36" s="199"/>
      <c r="H36" s="200"/>
      <c r="I36" s="14">
        <v>1</v>
      </c>
      <c r="J36" s="14" t="s">
        <v>146</v>
      </c>
    </row>
    <row r="37" spans="2:10" ht="23.1" customHeight="1" thickBot="1" x14ac:dyDescent="0.3">
      <c r="B37" s="222"/>
      <c r="C37" s="198"/>
      <c r="D37" s="199"/>
      <c r="E37" s="199"/>
      <c r="F37" s="199"/>
      <c r="G37" s="199"/>
      <c r="H37" s="200"/>
      <c r="I37" s="14">
        <v>2</v>
      </c>
      <c r="J37" s="14" t="s">
        <v>147</v>
      </c>
    </row>
    <row r="38" spans="2:10" ht="23.1" customHeight="1" thickBot="1" x14ac:dyDescent="0.3">
      <c r="B38" s="223"/>
      <c r="C38" s="201"/>
      <c r="D38" s="202"/>
      <c r="E38" s="202"/>
      <c r="F38" s="202"/>
      <c r="G38" s="202"/>
      <c r="H38" s="203"/>
      <c r="I38" s="14">
        <v>3</v>
      </c>
      <c r="J38" s="14" t="s">
        <v>148</v>
      </c>
    </row>
    <row r="39" spans="2:10" ht="20.100000000000001" customHeight="1" thickBot="1" x14ac:dyDescent="0.3"/>
    <row r="40" spans="2:10" ht="27" customHeight="1" thickBot="1" x14ac:dyDescent="0.3">
      <c r="B40" s="13" t="s">
        <v>122</v>
      </c>
      <c r="C40" s="195"/>
      <c r="D40" s="196"/>
      <c r="E40" s="196"/>
      <c r="F40" s="196"/>
      <c r="G40" s="196"/>
      <c r="H40" s="197"/>
      <c r="I40" s="85" t="str">
        <f>IF(C40="","",LEN(C40)&amp;"/240　文字")</f>
        <v/>
      </c>
    </row>
    <row r="41" spans="2:10" ht="27" customHeight="1" thickBot="1" x14ac:dyDescent="0.3">
      <c r="B41" s="26" t="s">
        <v>194</v>
      </c>
      <c r="C41" s="198"/>
      <c r="D41" s="199"/>
      <c r="E41" s="199"/>
      <c r="F41" s="199"/>
      <c r="G41" s="199"/>
      <c r="H41" s="200"/>
      <c r="I41" s="14"/>
    </row>
    <row r="42" spans="2:10" ht="27" customHeight="1" thickBot="1" x14ac:dyDescent="0.3">
      <c r="B42" s="32" t="str">
        <f>IF(B43="","",VLOOKUP(B43,I45:J47,2,FALSE))</f>
        <v/>
      </c>
      <c r="C42" s="198"/>
      <c r="D42" s="199"/>
      <c r="E42" s="199"/>
      <c r="F42" s="199"/>
      <c r="G42" s="199"/>
      <c r="H42" s="200"/>
      <c r="I42" s="137" t="str">
        <f>IF(AND(B43&gt;=2,C40=""),"特記事項は記入していますか？","")</f>
        <v/>
      </c>
      <c r="J42" s="17"/>
    </row>
    <row r="43" spans="2:10" ht="23.1" customHeight="1" thickBot="1" x14ac:dyDescent="0.3">
      <c r="B43" s="221"/>
      <c r="C43" s="198"/>
      <c r="D43" s="199"/>
      <c r="E43" s="199"/>
      <c r="F43" s="199"/>
      <c r="G43" s="199"/>
      <c r="H43" s="200"/>
      <c r="I43" s="231"/>
      <c r="J43" s="231"/>
    </row>
    <row r="44" spans="2:10" ht="23.1" customHeight="1" thickBot="1" x14ac:dyDescent="0.3">
      <c r="B44" s="222"/>
      <c r="C44" s="198"/>
      <c r="D44" s="199"/>
      <c r="E44" s="199"/>
      <c r="F44" s="199"/>
      <c r="G44" s="199"/>
      <c r="H44" s="200"/>
      <c r="I44" s="11"/>
      <c r="J44" s="11"/>
    </row>
    <row r="45" spans="2:10" ht="23.1" customHeight="1" thickBot="1" x14ac:dyDescent="0.3">
      <c r="B45" s="222"/>
      <c r="C45" s="198"/>
      <c r="D45" s="199"/>
      <c r="E45" s="199"/>
      <c r="F45" s="199"/>
      <c r="G45" s="199"/>
      <c r="H45" s="200"/>
      <c r="I45" s="14">
        <v>1</v>
      </c>
      <c r="J45" s="14" t="s">
        <v>146</v>
      </c>
    </row>
    <row r="46" spans="2:10" ht="23.1" customHeight="1" thickBot="1" x14ac:dyDescent="0.3">
      <c r="B46" s="222"/>
      <c r="C46" s="198"/>
      <c r="D46" s="199"/>
      <c r="E46" s="199"/>
      <c r="F46" s="199"/>
      <c r="G46" s="199"/>
      <c r="H46" s="200"/>
      <c r="I46" s="14">
        <v>2</v>
      </c>
      <c r="J46" s="14" t="s">
        <v>147</v>
      </c>
    </row>
    <row r="47" spans="2:10" ht="23.1" customHeight="1" thickBot="1" x14ac:dyDescent="0.3">
      <c r="B47" s="223"/>
      <c r="C47" s="201"/>
      <c r="D47" s="202"/>
      <c r="E47" s="202"/>
      <c r="F47" s="202"/>
      <c r="G47" s="202"/>
      <c r="H47" s="203"/>
      <c r="I47" s="14">
        <v>3</v>
      </c>
      <c r="J47" s="14" t="s">
        <v>148</v>
      </c>
    </row>
    <row r="48" spans="2:10" ht="20.100000000000001" customHeight="1" thickBot="1" x14ac:dyDescent="0.3"/>
    <row r="49" spans="2:10" ht="27" customHeight="1" thickBot="1" x14ac:dyDescent="0.3">
      <c r="B49" s="13" t="s">
        <v>123</v>
      </c>
      <c r="C49" s="195"/>
      <c r="D49" s="196"/>
      <c r="E49" s="196"/>
      <c r="F49" s="196"/>
      <c r="G49" s="196"/>
      <c r="H49" s="197"/>
      <c r="I49" s="85" t="str">
        <f>IF(C49="","",LEN(C49)&amp;"/240　文字")</f>
        <v/>
      </c>
    </row>
    <row r="50" spans="2:10" ht="27" customHeight="1" thickBot="1" x14ac:dyDescent="0.3">
      <c r="B50" s="26" t="s">
        <v>137</v>
      </c>
      <c r="C50" s="198"/>
      <c r="D50" s="199"/>
      <c r="E50" s="199"/>
      <c r="F50" s="199"/>
      <c r="G50" s="199"/>
      <c r="H50" s="200"/>
      <c r="I50" s="14"/>
    </row>
    <row r="51" spans="2:10" ht="27" customHeight="1" thickBot="1" x14ac:dyDescent="0.3">
      <c r="B51" s="32" t="str">
        <f>IF(B52="","",VLOOKUP(B52,I54:J56,2,FALSE))</f>
        <v/>
      </c>
      <c r="C51" s="198"/>
      <c r="D51" s="199"/>
      <c r="E51" s="199"/>
      <c r="F51" s="199"/>
      <c r="G51" s="199"/>
      <c r="H51" s="200"/>
      <c r="I51" s="137" t="str">
        <f>IF(AND(B52&gt;=2,C49=""),"特記事項は記入していますか？","")</f>
        <v/>
      </c>
      <c r="J51" s="17"/>
    </row>
    <row r="52" spans="2:10" ht="23.1" customHeight="1" thickBot="1" x14ac:dyDescent="0.3">
      <c r="B52" s="221"/>
      <c r="C52" s="198"/>
      <c r="D52" s="199"/>
      <c r="E52" s="199"/>
      <c r="F52" s="199"/>
      <c r="G52" s="199"/>
      <c r="H52" s="200"/>
      <c r="I52" s="231"/>
      <c r="J52" s="231"/>
    </row>
    <row r="53" spans="2:10" ht="23.1" customHeight="1" thickBot="1" x14ac:dyDescent="0.3">
      <c r="B53" s="222"/>
      <c r="C53" s="198"/>
      <c r="D53" s="199"/>
      <c r="E53" s="199"/>
      <c r="F53" s="199"/>
      <c r="G53" s="199"/>
      <c r="H53" s="200"/>
      <c r="I53" s="11"/>
      <c r="J53" s="11"/>
    </row>
    <row r="54" spans="2:10" ht="23.1" customHeight="1" thickBot="1" x14ac:dyDescent="0.3">
      <c r="B54" s="222"/>
      <c r="C54" s="198"/>
      <c r="D54" s="199"/>
      <c r="E54" s="199"/>
      <c r="F54" s="199"/>
      <c r="G54" s="199"/>
      <c r="H54" s="200"/>
      <c r="I54" s="14">
        <v>1</v>
      </c>
      <c r="J54" s="14" t="s">
        <v>146</v>
      </c>
    </row>
    <row r="55" spans="2:10" ht="23.1" customHeight="1" thickBot="1" x14ac:dyDescent="0.3">
      <c r="B55" s="222"/>
      <c r="C55" s="198"/>
      <c r="D55" s="199"/>
      <c r="E55" s="199"/>
      <c r="F55" s="199"/>
      <c r="G55" s="199"/>
      <c r="H55" s="200"/>
      <c r="I55" s="14">
        <v>2</v>
      </c>
      <c r="J55" s="14" t="s">
        <v>147</v>
      </c>
    </row>
    <row r="56" spans="2:10" ht="23.1" customHeight="1" thickBot="1" x14ac:dyDescent="0.3">
      <c r="B56" s="223"/>
      <c r="C56" s="201"/>
      <c r="D56" s="202"/>
      <c r="E56" s="202"/>
      <c r="F56" s="202"/>
      <c r="G56" s="202"/>
      <c r="H56" s="203"/>
      <c r="I56" s="14">
        <v>3</v>
      </c>
      <c r="J56" s="14" t="s">
        <v>148</v>
      </c>
    </row>
    <row r="57" spans="2:10" ht="20.100000000000001" customHeight="1" thickBot="1" x14ac:dyDescent="0.3"/>
    <row r="58" spans="2:10" ht="27" customHeight="1" thickBot="1" x14ac:dyDescent="0.3">
      <c r="B58" s="13" t="s">
        <v>124</v>
      </c>
      <c r="C58" s="195"/>
      <c r="D58" s="196"/>
      <c r="E58" s="196"/>
      <c r="F58" s="196"/>
      <c r="G58" s="196"/>
      <c r="H58" s="197"/>
      <c r="I58" s="85" t="str">
        <f>IF(C58="","",LEN(C58)&amp;"/240　文字")</f>
        <v/>
      </c>
    </row>
    <row r="59" spans="2:10" ht="27" customHeight="1" thickBot="1" x14ac:dyDescent="0.3">
      <c r="B59" s="26" t="s">
        <v>138</v>
      </c>
      <c r="C59" s="198"/>
      <c r="D59" s="199"/>
      <c r="E59" s="199"/>
      <c r="F59" s="199"/>
      <c r="G59" s="199"/>
      <c r="H59" s="200"/>
      <c r="I59" s="14"/>
    </row>
    <row r="60" spans="2:10" ht="27" customHeight="1" thickBot="1" x14ac:dyDescent="0.3">
      <c r="B60" s="32" t="str">
        <f>IF(B61="","",VLOOKUP(B61,I63:J65,2,FALSE))</f>
        <v/>
      </c>
      <c r="C60" s="198"/>
      <c r="D60" s="199"/>
      <c r="E60" s="199"/>
      <c r="F60" s="199"/>
      <c r="G60" s="199"/>
      <c r="H60" s="200"/>
      <c r="I60" s="137" t="str">
        <f>IF(AND(B61&gt;=2,C58=""),"特記事項は記入していますか？","")</f>
        <v/>
      </c>
      <c r="J60" s="17"/>
    </row>
    <row r="61" spans="2:10" ht="23.1" customHeight="1" thickBot="1" x14ac:dyDescent="0.3">
      <c r="B61" s="221"/>
      <c r="C61" s="198"/>
      <c r="D61" s="199"/>
      <c r="E61" s="199"/>
      <c r="F61" s="199"/>
      <c r="G61" s="199"/>
      <c r="H61" s="200"/>
      <c r="I61" s="231"/>
      <c r="J61" s="231"/>
    </row>
    <row r="62" spans="2:10" ht="23.1" customHeight="1" thickBot="1" x14ac:dyDescent="0.3">
      <c r="B62" s="222"/>
      <c r="C62" s="198"/>
      <c r="D62" s="199"/>
      <c r="E62" s="199"/>
      <c r="F62" s="199"/>
      <c r="G62" s="199"/>
      <c r="H62" s="200"/>
      <c r="I62" s="11"/>
      <c r="J62" s="11"/>
    </row>
    <row r="63" spans="2:10" ht="23.1" customHeight="1" thickBot="1" x14ac:dyDescent="0.3">
      <c r="B63" s="222"/>
      <c r="C63" s="198"/>
      <c r="D63" s="199"/>
      <c r="E63" s="199"/>
      <c r="F63" s="199"/>
      <c r="G63" s="199"/>
      <c r="H63" s="200"/>
      <c r="I63" s="14">
        <v>1</v>
      </c>
      <c r="J63" s="14" t="s">
        <v>146</v>
      </c>
    </row>
    <row r="64" spans="2:10" ht="23.1" customHeight="1" thickBot="1" x14ac:dyDescent="0.3">
      <c r="B64" s="222"/>
      <c r="C64" s="198"/>
      <c r="D64" s="199"/>
      <c r="E64" s="199"/>
      <c r="F64" s="199"/>
      <c r="G64" s="199"/>
      <c r="H64" s="200"/>
      <c r="I64" s="14">
        <v>2</v>
      </c>
      <c r="J64" s="14" t="s">
        <v>147</v>
      </c>
    </row>
    <row r="65" spans="2:10" ht="23.1" customHeight="1" thickBot="1" x14ac:dyDescent="0.3">
      <c r="B65" s="223"/>
      <c r="C65" s="201"/>
      <c r="D65" s="202"/>
      <c r="E65" s="202"/>
      <c r="F65" s="202"/>
      <c r="G65" s="202"/>
      <c r="H65" s="203"/>
      <c r="I65" s="14">
        <v>3</v>
      </c>
      <c r="J65" s="14" t="s">
        <v>148</v>
      </c>
    </row>
    <row r="66" spans="2:10" ht="20.100000000000001" customHeight="1" thickBot="1" x14ac:dyDescent="0.3">
      <c r="J66" s="11"/>
    </row>
    <row r="67" spans="2:10" ht="27" customHeight="1" thickBot="1" x14ac:dyDescent="0.3">
      <c r="B67" s="13" t="s">
        <v>125</v>
      </c>
      <c r="C67" s="195"/>
      <c r="D67" s="196"/>
      <c r="E67" s="196"/>
      <c r="F67" s="196"/>
      <c r="G67" s="196"/>
      <c r="H67" s="197"/>
      <c r="I67" s="85" t="str">
        <f>IF(C67="","",LEN(C67)&amp;"/240　文字")</f>
        <v/>
      </c>
    </row>
    <row r="68" spans="2:10" ht="27" customHeight="1" thickBot="1" x14ac:dyDescent="0.3">
      <c r="B68" s="26" t="s">
        <v>139</v>
      </c>
      <c r="C68" s="198"/>
      <c r="D68" s="199"/>
      <c r="E68" s="199"/>
      <c r="F68" s="199"/>
      <c r="G68" s="199"/>
      <c r="H68" s="200"/>
      <c r="I68" s="14"/>
    </row>
    <row r="69" spans="2:10" ht="27" customHeight="1" thickBot="1" x14ac:dyDescent="0.3">
      <c r="B69" s="32" t="str">
        <f>IF(B70="","",VLOOKUP(B70,I72:J74,2,FALSE))</f>
        <v/>
      </c>
      <c r="C69" s="198"/>
      <c r="D69" s="199"/>
      <c r="E69" s="199"/>
      <c r="F69" s="199"/>
      <c r="G69" s="199"/>
      <c r="H69" s="200"/>
      <c r="I69" s="137" t="str">
        <f>IF(AND(B70&gt;=2,C67=""),"特記事項は記入していますか？","")</f>
        <v/>
      </c>
      <c r="J69" s="17"/>
    </row>
    <row r="70" spans="2:10" ht="23.1" customHeight="1" thickBot="1" x14ac:dyDescent="0.3">
      <c r="B70" s="221"/>
      <c r="C70" s="198"/>
      <c r="D70" s="199"/>
      <c r="E70" s="199"/>
      <c r="F70" s="199"/>
      <c r="G70" s="199"/>
      <c r="H70" s="200"/>
      <c r="I70" s="231"/>
      <c r="J70" s="231"/>
    </row>
    <row r="71" spans="2:10" ht="23.1" customHeight="1" thickBot="1" x14ac:dyDescent="0.3">
      <c r="B71" s="222"/>
      <c r="C71" s="198"/>
      <c r="D71" s="199"/>
      <c r="E71" s="199"/>
      <c r="F71" s="199"/>
      <c r="G71" s="199"/>
      <c r="H71" s="200"/>
      <c r="I71" s="11"/>
      <c r="J71" s="11"/>
    </row>
    <row r="72" spans="2:10" ht="23.1" customHeight="1" thickBot="1" x14ac:dyDescent="0.3">
      <c r="B72" s="222"/>
      <c r="C72" s="198"/>
      <c r="D72" s="199"/>
      <c r="E72" s="199"/>
      <c r="F72" s="199"/>
      <c r="G72" s="199"/>
      <c r="H72" s="200"/>
      <c r="I72" s="14">
        <v>1</v>
      </c>
      <c r="J72" s="14" t="s">
        <v>146</v>
      </c>
    </row>
    <row r="73" spans="2:10" ht="23.1" customHeight="1" thickBot="1" x14ac:dyDescent="0.3">
      <c r="B73" s="222"/>
      <c r="C73" s="198"/>
      <c r="D73" s="199"/>
      <c r="E73" s="199"/>
      <c r="F73" s="199"/>
      <c r="G73" s="199"/>
      <c r="H73" s="200"/>
      <c r="I73" s="14">
        <v>2</v>
      </c>
      <c r="J73" s="14" t="s">
        <v>147</v>
      </c>
    </row>
    <row r="74" spans="2:10" ht="23.1" customHeight="1" thickBot="1" x14ac:dyDescent="0.3">
      <c r="B74" s="223"/>
      <c r="C74" s="201"/>
      <c r="D74" s="202"/>
      <c r="E74" s="202"/>
      <c r="F74" s="202"/>
      <c r="G74" s="202"/>
      <c r="H74" s="203"/>
      <c r="I74" s="14">
        <v>3</v>
      </c>
      <c r="J74" s="14" t="s">
        <v>148</v>
      </c>
    </row>
    <row r="75" spans="2:10" ht="20.100000000000001" customHeight="1" thickBot="1" x14ac:dyDescent="0.3"/>
    <row r="76" spans="2:10" ht="27" customHeight="1" thickBot="1" x14ac:dyDescent="0.3">
      <c r="B76" s="13" t="s">
        <v>126</v>
      </c>
      <c r="C76" s="195"/>
      <c r="D76" s="196"/>
      <c r="E76" s="196"/>
      <c r="F76" s="196"/>
      <c r="G76" s="196"/>
      <c r="H76" s="197"/>
      <c r="I76" s="85" t="str">
        <f>IF(C76="","",LEN(C76)&amp;"/240　文字")</f>
        <v/>
      </c>
    </row>
    <row r="77" spans="2:10" ht="27" customHeight="1" thickBot="1" x14ac:dyDescent="0.3">
      <c r="B77" s="24" t="s">
        <v>140</v>
      </c>
      <c r="C77" s="198"/>
      <c r="D77" s="199"/>
      <c r="E77" s="199"/>
      <c r="F77" s="199"/>
      <c r="G77" s="199"/>
      <c r="H77" s="200"/>
      <c r="I77" s="14"/>
    </row>
    <row r="78" spans="2:10" ht="27" customHeight="1" thickBot="1" x14ac:dyDescent="0.3">
      <c r="B78" s="32" t="str">
        <f>IF(B79="","",VLOOKUP(B79,I81:J83,2,FALSE))</f>
        <v/>
      </c>
      <c r="C78" s="198"/>
      <c r="D78" s="199"/>
      <c r="E78" s="199"/>
      <c r="F78" s="199"/>
      <c r="G78" s="199"/>
      <c r="H78" s="200"/>
      <c r="I78" s="137" t="str">
        <f>IF(AND(B79&gt;=2,C76=""),"特記事項は記入していますか？","")</f>
        <v/>
      </c>
      <c r="J78" s="17"/>
    </row>
    <row r="79" spans="2:10" ht="23.1" customHeight="1" thickBot="1" x14ac:dyDescent="0.3">
      <c r="B79" s="221"/>
      <c r="C79" s="198"/>
      <c r="D79" s="199"/>
      <c r="E79" s="199"/>
      <c r="F79" s="199"/>
      <c r="G79" s="199"/>
      <c r="H79" s="200"/>
      <c r="I79" s="231"/>
      <c r="J79" s="231"/>
    </row>
    <row r="80" spans="2:10" ht="23.1" customHeight="1" thickBot="1" x14ac:dyDescent="0.3">
      <c r="B80" s="222"/>
      <c r="C80" s="198"/>
      <c r="D80" s="199"/>
      <c r="E80" s="199"/>
      <c r="F80" s="199"/>
      <c r="G80" s="199"/>
      <c r="H80" s="200"/>
      <c r="I80" s="11"/>
      <c r="J80" s="11"/>
    </row>
    <row r="81" spans="2:10" ht="23.1" customHeight="1" thickBot="1" x14ac:dyDescent="0.3">
      <c r="B81" s="222"/>
      <c r="C81" s="198"/>
      <c r="D81" s="199"/>
      <c r="E81" s="199"/>
      <c r="F81" s="199"/>
      <c r="G81" s="199"/>
      <c r="H81" s="200"/>
      <c r="I81" s="14">
        <v>1</v>
      </c>
      <c r="J81" s="14" t="s">
        <v>146</v>
      </c>
    </row>
    <row r="82" spans="2:10" ht="23.1" customHeight="1" thickBot="1" x14ac:dyDescent="0.3">
      <c r="B82" s="222"/>
      <c r="C82" s="198"/>
      <c r="D82" s="199"/>
      <c r="E82" s="199"/>
      <c r="F82" s="199"/>
      <c r="G82" s="199"/>
      <c r="H82" s="200"/>
      <c r="I82" s="14">
        <v>2</v>
      </c>
      <c r="J82" s="14" t="s">
        <v>147</v>
      </c>
    </row>
    <row r="83" spans="2:10" ht="23.1" customHeight="1" thickBot="1" x14ac:dyDescent="0.3">
      <c r="B83" s="223"/>
      <c r="C83" s="201"/>
      <c r="D83" s="202"/>
      <c r="E83" s="202"/>
      <c r="F83" s="202"/>
      <c r="G83" s="202"/>
      <c r="H83" s="203"/>
      <c r="I83" s="14">
        <v>3</v>
      </c>
      <c r="J83" s="14" t="s">
        <v>148</v>
      </c>
    </row>
    <row r="84" spans="2:10" ht="20.100000000000001" customHeight="1" thickBot="1" x14ac:dyDescent="0.3"/>
    <row r="85" spans="2:10" ht="27" customHeight="1" thickBot="1" x14ac:dyDescent="0.3">
      <c r="B85" s="13" t="s">
        <v>127</v>
      </c>
      <c r="C85" s="195"/>
      <c r="D85" s="196"/>
      <c r="E85" s="196"/>
      <c r="F85" s="196"/>
      <c r="G85" s="196"/>
      <c r="H85" s="197"/>
      <c r="I85" s="85" t="str">
        <f>IF(C85="","",LEN(C85)&amp;"/240　文字")</f>
        <v/>
      </c>
    </row>
    <row r="86" spans="2:10" ht="27" customHeight="1" thickBot="1" x14ac:dyDescent="0.3">
      <c r="B86" s="24" t="s">
        <v>141</v>
      </c>
      <c r="C86" s="198"/>
      <c r="D86" s="199"/>
      <c r="E86" s="199"/>
      <c r="F86" s="199"/>
      <c r="G86" s="199"/>
      <c r="H86" s="200"/>
      <c r="I86" s="14"/>
    </row>
    <row r="87" spans="2:10" ht="27" customHeight="1" thickBot="1" x14ac:dyDescent="0.3">
      <c r="B87" s="32" t="str">
        <f>IF(B88="","",VLOOKUP(B88,I90:J92,2,FALSE))</f>
        <v/>
      </c>
      <c r="C87" s="198"/>
      <c r="D87" s="199"/>
      <c r="E87" s="199"/>
      <c r="F87" s="199"/>
      <c r="G87" s="199"/>
      <c r="H87" s="200"/>
      <c r="I87" s="137" t="str">
        <f>IF(AND(B88&gt;=2,C85=""),"特記事項は記入していますか？","")</f>
        <v/>
      </c>
      <c r="J87" s="17"/>
    </row>
    <row r="88" spans="2:10" ht="23.1" customHeight="1" thickBot="1" x14ac:dyDescent="0.3">
      <c r="B88" s="221"/>
      <c r="C88" s="198"/>
      <c r="D88" s="199"/>
      <c r="E88" s="199"/>
      <c r="F88" s="199"/>
      <c r="G88" s="199"/>
      <c r="H88" s="200"/>
      <c r="I88" s="231"/>
      <c r="J88" s="231"/>
    </row>
    <row r="89" spans="2:10" ht="23.1" customHeight="1" thickBot="1" x14ac:dyDescent="0.3">
      <c r="B89" s="222"/>
      <c r="C89" s="198"/>
      <c r="D89" s="199"/>
      <c r="E89" s="199"/>
      <c r="F89" s="199"/>
      <c r="G89" s="199"/>
      <c r="H89" s="200"/>
      <c r="I89" s="11"/>
      <c r="J89" s="11"/>
    </row>
    <row r="90" spans="2:10" ht="23.1" customHeight="1" thickBot="1" x14ac:dyDescent="0.3">
      <c r="B90" s="222"/>
      <c r="C90" s="198"/>
      <c r="D90" s="199"/>
      <c r="E90" s="199"/>
      <c r="F90" s="199"/>
      <c r="G90" s="199"/>
      <c r="H90" s="200"/>
      <c r="I90" s="14">
        <v>1</v>
      </c>
      <c r="J90" s="14" t="s">
        <v>146</v>
      </c>
    </row>
    <row r="91" spans="2:10" ht="23.1" customHeight="1" thickBot="1" x14ac:dyDescent="0.3">
      <c r="B91" s="222"/>
      <c r="C91" s="198"/>
      <c r="D91" s="199"/>
      <c r="E91" s="199"/>
      <c r="F91" s="199"/>
      <c r="G91" s="199"/>
      <c r="H91" s="200"/>
      <c r="I91" s="14">
        <v>2</v>
      </c>
      <c r="J91" s="14" t="s">
        <v>147</v>
      </c>
    </row>
    <row r="92" spans="2:10" ht="23.1" customHeight="1" thickBot="1" x14ac:dyDescent="0.3">
      <c r="B92" s="223"/>
      <c r="C92" s="201"/>
      <c r="D92" s="202"/>
      <c r="E92" s="202"/>
      <c r="F92" s="202"/>
      <c r="G92" s="202"/>
      <c r="H92" s="203"/>
      <c r="I92" s="14">
        <v>3</v>
      </c>
      <c r="J92" s="14" t="s">
        <v>148</v>
      </c>
    </row>
    <row r="93" spans="2:10" ht="20.100000000000001" customHeight="1" thickBot="1" x14ac:dyDescent="0.3"/>
    <row r="94" spans="2:10" ht="27" customHeight="1" thickBot="1" x14ac:dyDescent="0.3">
      <c r="B94" s="13" t="s">
        <v>128</v>
      </c>
      <c r="C94" s="195"/>
      <c r="D94" s="196"/>
      <c r="E94" s="196"/>
      <c r="F94" s="196"/>
      <c r="G94" s="196"/>
      <c r="H94" s="197"/>
      <c r="I94" s="85" t="str">
        <f>IF(C94="","",LEN(C94)&amp;"/240　文字")</f>
        <v/>
      </c>
    </row>
    <row r="95" spans="2:10" ht="27" customHeight="1" thickBot="1" x14ac:dyDescent="0.3">
      <c r="B95" s="24" t="s">
        <v>142</v>
      </c>
      <c r="C95" s="198"/>
      <c r="D95" s="199"/>
      <c r="E95" s="199"/>
      <c r="F95" s="199"/>
      <c r="G95" s="199"/>
      <c r="H95" s="200"/>
      <c r="I95" s="14"/>
    </row>
    <row r="96" spans="2:10" ht="27" customHeight="1" thickBot="1" x14ac:dyDescent="0.3">
      <c r="B96" s="32" t="str">
        <f>IF(B97="","",VLOOKUP(B97,I99:J101,2,FALSE))</f>
        <v/>
      </c>
      <c r="C96" s="198"/>
      <c r="D96" s="199"/>
      <c r="E96" s="199"/>
      <c r="F96" s="199"/>
      <c r="G96" s="199"/>
      <c r="H96" s="200"/>
      <c r="I96" s="137" t="str">
        <f>IF(AND(B97&gt;=2,C94=""),"特記事項は記入していますか？","")</f>
        <v/>
      </c>
      <c r="J96" s="17"/>
    </row>
    <row r="97" spans="2:10" ht="23.1" customHeight="1" thickBot="1" x14ac:dyDescent="0.3">
      <c r="B97" s="221"/>
      <c r="C97" s="198"/>
      <c r="D97" s="199"/>
      <c r="E97" s="199"/>
      <c r="F97" s="199"/>
      <c r="G97" s="199"/>
      <c r="H97" s="200"/>
      <c r="I97" s="231"/>
      <c r="J97" s="231"/>
    </row>
    <row r="98" spans="2:10" ht="23.1" customHeight="1" thickBot="1" x14ac:dyDescent="0.3">
      <c r="B98" s="222"/>
      <c r="C98" s="198"/>
      <c r="D98" s="199"/>
      <c r="E98" s="199"/>
      <c r="F98" s="199"/>
      <c r="G98" s="199"/>
      <c r="H98" s="200"/>
      <c r="I98" s="11"/>
      <c r="J98" s="11"/>
    </row>
    <row r="99" spans="2:10" ht="23.1" customHeight="1" thickBot="1" x14ac:dyDescent="0.3">
      <c r="B99" s="222"/>
      <c r="C99" s="198"/>
      <c r="D99" s="199"/>
      <c r="E99" s="199"/>
      <c r="F99" s="199"/>
      <c r="G99" s="199"/>
      <c r="H99" s="200"/>
      <c r="I99" s="14">
        <v>1</v>
      </c>
      <c r="J99" s="14" t="s">
        <v>146</v>
      </c>
    </row>
    <row r="100" spans="2:10" ht="23.1" customHeight="1" thickBot="1" x14ac:dyDescent="0.3">
      <c r="B100" s="222"/>
      <c r="C100" s="198"/>
      <c r="D100" s="199"/>
      <c r="E100" s="199"/>
      <c r="F100" s="199"/>
      <c r="G100" s="199"/>
      <c r="H100" s="200"/>
      <c r="I100" s="14">
        <v>2</v>
      </c>
      <c r="J100" s="14" t="s">
        <v>147</v>
      </c>
    </row>
    <row r="101" spans="2:10" ht="23.1" customHeight="1" thickBot="1" x14ac:dyDescent="0.3">
      <c r="B101" s="223"/>
      <c r="C101" s="201"/>
      <c r="D101" s="202"/>
      <c r="E101" s="202"/>
      <c r="F101" s="202"/>
      <c r="G101" s="202"/>
      <c r="H101" s="203"/>
      <c r="I101" s="14">
        <v>3</v>
      </c>
      <c r="J101" s="14" t="s">
        <v>148</v>
      </c>
    </row>
    <row r="102" spans="2:10" ht="20.100000000000001" customHeight="1" thickBot="1" x14ac:dyDescent="0.3"/>
    <row r="103" spans="2:10" ht="27" customHeight="1" thickBot="1" x14ac:dyDescent="0.3">
      <c r="B103" s="13" t="s">
        <v>129</v>
      </c>
      <c r="C103" s="195"/>
      <c r="D103" s="196"/>
      <c r="E103" s="196"/>
      <c r="F103" s="196"/>
      <c r="G103" s="196"/>
      <c r="H103" s="197"/>
      <c r="I103" s="85" t="str">
        <f>IF(C103="","",LEN(C103)&amp;"/240　文字")</f>
        <v/>
      </c>
    </row>
    <row r="104" spans="2:10" ht="27" customHeight="1" thickBot="1" x14ac:dyDescent="0.3">
      <c r="B104" s="26" t="s">
        <v>195</v>
      </c>
      <c r="C104" s="198"/>
      <c r="D104" s="199"/>
      <c r="E104" s="199"/>
      <c r="F104" s="199"/>
      <c r="G104" s="199"/>
      <c r="H104" s="200"/>
      <c r="I104" s="14"/>
    </row>
    <row r="105" spans="2:10" ht="27" customHeight="1" thickBot="1" x14ac:dyDescent="0.3">
      <c r="B105" s="32" t="str">
        <f>IF(B106="","",VLOOKUP(B106,I108:J110,2,FALSE))</f>
        <v/>
      </c>
      <c r="C105" s="198"/>
      <c r="D105" s="199"/>
      <c r="E105" s="199"/>
      <c r="F105" s="199"/>
      <c r="G105" s="199"/>
      <c r="H105" s="200"/>
      <c r="I105" s="137" t="str">
        <f>IF(AND(B106&gt;=2,C103=""),"特記事項は記入していますか？","")</f>
        <v/>
      </c>
      <c r="J105" s="17"/>
    </row>
    <row r="106" spans="2:10" ht="23.1" customHeight="1" thickBot="1" x14ac:dyDescent="0.3">
      <c r="B106" s="221"/>
      <c r="C106" s="198"/>
      <c r="D106" s="199"/>
      <c r="E106" s="199"/>
      <c r="F106" s="199"/>
      <c r="G106" s="199"/>
      <c r="H106" s="200"/>
      <c r="I106" s="231"/>
      <c r="J106" s="231"/>
    </row>
    <row r="107" spans="2:10" ht="23.1" customHeight="1" thickBot="1" x14ac:dyDescent="0.3">
      <c r="B107" s="222"/>
      <c r="C107" s="198"/>
      <c r="D107" s="199"/>
      <c r="E107" s="199"/>
      <c r="F107" s="199"/>
      <c r="G107" s="199"/>
      <c r="H107" s="200"/>
      <c r="I107" s="11"/>
      <c r="J107" s="11"/>
    </row>
    <row r="108" spans="2:10" ht="23.1" customHeight="1" thickBot="1" x14ac:dyDescent="0.3">
      <c r="B108" s="222"/>
      <c r="C108" s="198"/>
      <c r="D108" s="199"/>
      <c r="E108" s="199"/>
      <c r="F108" s="199"/>
      <c r="G108" s="199"/>
      <c r="H108" s="200"/>
      <c r="I108" s="14">
        <v>1</v>
      </c>
      <c r="J108" s="14" t="s">
        <v>146</v>
      </c>
    </row>
    <row r="109" spans="2:10" ht="23.1" customHeight="1" thickBot="1" x14ac:dyDescent="0.3">
      <c r="B109" s="222"/>
      <c r="C109" s="198"/>
      <c r="D109" s="199"/>
      <c r="E109" s="199"/>
      <c r="F109" s="199"/>
      <c r="G109" s="199"/>
      <c r="H109" s="200"/>
      <c r="I109" s="14">
        <v>2</v>
      </c>
      <c r="J109" s="14" t="s">
        <v>147</v>
      </c>
    </row>
    <row r="110" spans="2:10" ht="23.1" customHeight="1" thickBot="1" x14ac:dyDescent="0.3">
      <c r="B110" s="223"/>
      <c r="C110" s="201"/>
      <c r="D110" s="202"/>
      <c r="E110" s="202"/>
      <c r="F110" s="202"/>
      <c r="G110" s="202"/>
      <c r="H110" s="203"/>
      <c r="I110" s="14">
        <v>3</v>
      </c>
      <c r="J110" s="14" t="s">
        <v>148</v>
      </c>
    </row>
    <row r="111" spans="2:10" ht="20.100000000000001" customHeight="1" thickBot="1" x14ac:dyDescent="0.3"/>
    <row r="112" spans="2:10" ht="27" customHeight="1" thickBot="1" x14ac:dyDescent="0.3">
      <c r="B112" s="13" t="s">
        <v>130</v>
      </c>
      <c r="C112" s="195"/>
      <c r="D112" s="196"/>
      <c r="E112" s="196"/>
      <c r="F112" s="196"/>
      <c r="G112" s="196"/>
      <c r="H112" s="197"/>
      <c r="I112" s="85" t="str">
        <f>IF(C112="","",LEN(C112)&amp;"/240　文字")</f>
        <v/>
      </c>
    </row>
    <row r="113" spans="2:10" ht="27" customHeight="1" thickBot="1" x14ac:dyDescent="0.3">
      <c r="B113" s="24" t="s">
        <v>143</v>
      </c>
      <c r="C113" s="198"/>
      <c r="D113" s="199"/>
      <c r="E113" s="199"/>
      <c r="F113" s="199"/>
      <c r="G113" s="199"/>
      <c r="H113" s="200"/>
      <c r="I113" s="14"/>
    </row>
    <row r="114" spans="2:10" ht="27" customHeight="1" thickBot="1" x14ac:dyDescent="0.3">
      <c r="B114" s="32" t="str">
        <f>IF(B115="","",VLOOKUP(B115,I117:J119,2,FALSE))</f>
        <v/>
      </c>
      <c r="C114" s="198"/>
      <c r="D114" s="199"/>
      <c r="E114" s="199"/>
      <c r="F114" s="199"/>
      <c r="G114" s="199"/>
      <c r="H114" s="200"/>
      <c r="I114" s="137" t="str">
        <f>IF(AND(B115&gt;=2,C112=""),"特記事項は記入していますか？","")</f>
        <v/>
      </c>
      <c r="J114" s="17"/>
    </row>
    <row r="115" spans="2:10" ht="23.1" customHeight="1" thickBot="1" x14ac:dyDescent="0.3">
      <c r="B115" s="221"/>
      <c r="C115" s="198"/>
      <c r="D115" s="199"/>
      <c r="E115" s="199"/>
      <c r="F115" s="199"/>
      <c r="G115" s="199"/>
      <c r="H115" s="200"/>
      <c r="I115" s="231"/>
      <c r="J115" s="231"/>
    </row>
    <row r="116" spans="2:10" ht="23.1" customHeight="1" thickBot="1" x14ac:dyDescent="0.3">
      <c r="B116" s="222"/>
      <c r="C116" s="198"/>
      <c r="D116" s="199"/>
      <c r="E116" s="199"/>
      <c r="F116" s="199"/>
      <c r="G116" s="199"/>
      <c r="H116" s="200"/>
      <c r="I116" s="11"/>
      <c r="J116" s="11"/>
    </row>
    <row r="117" spans="2:10" ht="23.1" customHeight="1" thickBot="1" x14ac:dyDescent="0.3">
      <c r="B117" s="222"/>
      <c r="C117" s="198"/>
      <c r="D117" s="199"/>
      <c r="E117" s="199"/>
      <c r="F117" s="199"/>
      <c r="G117" s="199"/>
      <c r="H117" s="200"/>
      <c r="I117" s="14">
        <v>1</v>
      </c>
      <c r="J117" s="14" t="s">
        <v>146</v>
      </c>
    </row>
    <row r="118" spans="2:10" ht="23.1" customHeight="1" thickBot="1" x14ac:dyDescent="0.3">
      <c r="B118" s="222"/>
      <c r="C118" s="198"/>
      <c r="D118" s="199"/>
      <c r="E118" s="199"/>
      <c r="F118" s="199"/>
      <c r="G118" s="199"/>
      <c r="H118" s="200"/>
      <c r="I118" s="14">
        <v>2</v>
      </c>
      <c r="J118" s="14" t="s">
        <v>147</v>
      </c>
    </row>
    <row r="119" spans="2:10" ht="23.1" customHeight="1" thickBot="1" x14ac:dyDescent="0.3">
      <c r="B119" s="223"/>
      <c r="C119" s="201"/>
      <c r="D119" s="202"/>
      <c r="E119" s="202"/>
      <c r="F119" s="202"/>
      <c r="G119" s="202"/>
      <c r="H119" s="203"/>
      <c r="I119" s="14">
        <v>3</v>
      </c>
      <c r="J119" s="14" t="s">
        <v>148</v>
      </c>
    </row>
    <row r="120" spans="2:10" ht="20.100000000000001" customHeight="1" thickBot="1" x14ac:dyDescent="0.3"/>
    <row r="121" spans="2:10" ht="27" customHeight="1" thickBot="1" x14ac:dyDescent="0.3">
      <c r="B121" s="13" t="s">
        <v>131</v>
      </c>
      <c r="C121" s="195"/>
      <c r="D121" s="196"/>
      <c r="E121" s="196"/>
      <c r="F121" s="196"/>
      <c r="G121" s="196"/>
      <c r="H121" s="197"/>
      <c r="I121" s="85" t="str">
        <f>IF(C121="","",LEN(C121)&amp;"/240　文字")</f>
        <v/>
      </c>
    </row>
    <row r="122" spans="2:10" ht="27" customHeight="1" thickBot="1" x14ac:dyDescent="0.3">
      <c r="B122" s="182" t="s">
        <v>144</v>
      </c>
      <c r="C122" s="198"/>
      <c r="D122" s="199"/>
      <c r="E122" s="199"/>
      <c r="F122" s="199"/>
      <c r="G122" s="199"/>
      <c r="H122" s="200"/>
      <c r="I122" s="14"/>
    </row>
    <row r="123" spans="2:10" ht="27" customHeight="1" thickBot="1" x14ac:dyDescent="0.3">
      <c r="B123" s="32" t="str">
        <f>IF(B124="","",VLOOKUP(B124,I126:J128,2,FALSE))</f>
        <v/>
      </c>
      <c r="C123" s="198"/>
      <c r="D123" s="199"/>
      <c r="E123" s="199"/>
      <c r="F123" s="199"/>
      <c r="G123" s="199"/>
      <c r="H123" s="200"/>
      <c r="I123" s="137" t="str">
        <f>IF(AND(B124&gt;=2,C121=""),"特記事項は記入していますか？","")</f>
        <v/>
      </c>
      <c r="J123" s="17"/>
    </row>
    <row r="124" spans="2:10" ht="23.1" customHeight="1" thickBot="1" x14ac:dyDescent="0.3">
      <c r="B124" s="221"/>
      <c r="C124" s="198"/>
      <c r="D124" s="199"/>
      <c r="E124" s="199"/>
      <c r="F124" s="199"/>
      <c r="G124" s="199"/>
      <c r="H124" s="200"/>
      <c r="I124" s="231"/>
      <c r="J124" s="231"/>
    </row>
    <row r="125" spans="2:10" ht="23.1" customHeight="1" thickBot="1" x14ac:dyDescent="0.3">
      <c r="B125" s="222"/>
      <c r="C125" s="198"/>
      <c r="D125" s="199"/>
      <c r="E125" s="199"/>
      <c r="F125" s="199"/>
      <c r="G125" s="199"/>
      <c r="H125" s="200"/>
      <c r="I125" s="11"/>
      <c r="J125" s="11"/>
    </row>
    <row r="126" spans="2:10" ht="23.1" customHeight="1" thickBot="1" x14ac:dyDescent="0.3">
      <c r="B126" s="222"/>
      <c r="C126" s="198"/>
      <c r="D126" s="199"/>
      <c r="E126" s="199"/>
      <c r="F126" s="199"/>
      <c r="G126" s="199"/>
      <c r="H126" s="200"/>
      <c r="I126" s="14">
        <v>1</v>
      </c>
      <c r="J126" s="14" t="s">
        <v>146</v>
      </c>
    </row>
    <row r="127" spans="2:10" ht="23.1" customHeight="1" thickBot="1" x14ac:dyDescent="0.3">
      <c r="B127" s="222"/>
      <c r="C127" s="198"/>
      <c r="D127" s="199"/>
      <c r="E127" s="199"/>
      <c r="F127" s="199"/>
      <c r="G127" s="199"/>
      <c r="H127" s="200"/>
      <c r="I127" s="14">
        <v>2</v>
      </c>
      <c r="J127" s="14" t="s">
        <v>147</v>
      </c>
    </row>
    <row r="128" spans="2:10" ht="23.1" customHeight="1" thickBot="1" x14ac:dyDescent="0.3">
      <c r="B128" s="223"/>
      <c r="C128" s="201"/>
      <c r="D128" s="202"/>
      <c r="E128" s="202"/>
      <c r="F128" s="202"/>
      <c r="G128" s="202"/>
      <c r="H128" s="203"/>
      <c r="I128" s="14">
        <v>3</v>
      </c>
      <c r="J128" s="14" t="s">
        <v>148</v>
      </c>
    </row>
    <row r="129" spans="2:10" ht="20.100000000000001" customHeight="1" thickBot="1" x14ac:dyDescent="0.3"/>
    <row r="130" spans="2:10" ht="27" customHeight="1" thickBot="1" x14ac:dyDescent="0.3">
      <c r="B130" s="13" t="s">
        <v>132</v>
      </c>
      <c r="C130" s="195"/>
      <c r="D130" s="196"/>
      <c r="E130" s="196"/>
      <c r="F130" s="196"/>
      <c r="G130" s="196"/>
      <c r="H130" s="197"/>
      <c r="I130" s="85" t="str">
        <f>IF(C130="","",LEN(C130)&amp;"/240　文字")</f>
        <v/>
      </c>
    </row>
    <row r="131" spans="2:10" ht="27" customHeight="1" thickBot="1" x14ac:dyDescent="0.3">
      <c r="B131" s="24" t="s">
        <v>145</v>
      </c>
      <c r="C131" s="198"/>
      <c r="D131" s="199"/>
      <c r="E131" s="199"/>
      <c r="F131" s="199"/>
      <c r="G131" s="199"/>
      <c r="H131" s="200"/>
      <c r="I131" s="14"/>
    </row>
    <row r="132" spans="2:10" ht="27" customHeight="1" thickBot="1" x14ac:dyDescent="0.3">
      <c r="B132" s="32" t="str">
        <f>IF(B133="","",VLOOKUP(B133,I135:J137,2,FALSE))</f>
        <v/>
      </c>
      <c r="C132" s="198"/>
      <c r="D132" s="199"/>
      <c r="E132" s="199"/>
      <c r="F132" s="199"/>
      <c r="G132" s="199"/>
      <c r="H132" s="200"/>
      <c r="I132" s="137" t="str">
        <f>IF(AND(B133&gt;=2,C130=""),"特記事項は記入していますか？","")</f>
        <v/>
      </c>
      <c r="J132" s="17"/>
    </row>
    <row r="133" spans="2:10" ht="23.1" customHeight="1" thickBot="1" x14ac:dyDescent="0.3">
      <c r="B133" s="221"/>
      <c r="C133" s="198"/>
      <c r="D133" s="199"/>
      <c r="E133" s="199"/>
      <c r="F133" s="199"/>
      <c r="G133" s="199"/>
      <c r="H133" s="200"/>
      <c r="I133" s="231"/>
      <c r="J133" s="231"/>
    </row>
    <row r="134" spans="2:10" ht="23.1" customHeight="1" thickBot="1" x14ac:dyDescent="0.3">
      <c r="B134" s="222"/>
      <c r="C134" s="198"/>
      <c r="D134" s="199"/>
      <c r="E134" s="199"/>
      <c r="F134" s="199"/>
      <c r="G134" s="199"/>
      <c r="H134" s="200"/>
      <c r="I134" s="11"/>
      <c r="J134" s="11"/>
    </row>
    <row r="135" spans="2:10" ht="23.1" customHeight="1" thickBot="1" x14ac:dyDescent="0.3">
      <c r="B135" s="222"/>
      <c r="C135" s="198"/>
      <c r="D135" s="199"/>
      <c r="E135" s="199"/>
      <c r="F135" s="199"/>
      <c r="G135" s="199"/>
      <c r="H135" s="200"/>
      <c r="I135" s="14">
        <v>1</v>
      </c>
      <c r="J135" s="14" t="s">
        <v>146</v>
      </c>
    </row>
    <row r="136" spans="2:10" ht="23.1" customHeight="1" thickBot="1" x14ac:dyDescent="0.3">
      <c r="B136" s="222"/>
      <c r="C136" s="198"/>
      <c r="D136" s="199"/>
      <c r="E136" s="199"/>
      <c r="F136" s="199"/>
      <c r="G136" s="199"/>
      <c r="H136" s="200"/>
      <c r="I136" s="14">
        <v>2</v>
      </c>
      <c r="J136" s="14" t="s">
        <v>147</v>
      </c>
    </row>
    <row r="137" spans="2:10" ht="23.1" customHeight="1" thickBot="1" x14ac:dyDescent="0.3">
      <c r="B137" s="223"/>
      <c r="C137" s="201"/>
      <c r="D137" s="202"/>
      <c r="E137" s="202"/>
      <c r="F137" s="202"/>
      <c r="G137" s="202"/>
      <c r="H137" s="203"/>
      <c r="I137" s="14">
        <v>3</v>
      </c>
      <c r="J137" s="14" t="s">
        <v>148</v>
      </c>
    </row>
  </sheetData>
  <sheetProtection selectLockedCells="1"/>
  <mergeCells count="49">
    <mergeCell ref="I88:J88"/>
    <mergeCell ref="I97:J97"/>
    <mergeCell ref="I106:J106"/>
    <mergeCell ref="I115:J115"/>
    <mergeCell ref="I124:J124"/>
    <mergeCell ref="I133:J133"/>
    <mergeCell ref="C130:H137"/>
    <mergeCell ref="B133:B137"/>
    <mergeCell ref="I16:J16"/>
    <mergeCell ref="I25:J25"/>
    <mergeCell ref="I34:J34"/>
    <mergeCell ref="I43:J43"/>
    <mergeCell ref="I52:J52"/>
    <mergeCell ref="I61:J61"/>
    <mergeCell ref="I70:J70"/>
    <mergeCell ref="I79:J79"/>
    <mergeCell ref="C103:H110"/>
    <mergeCell ref="B106:B110"/>
    <mergeCell ref="C112:H119"/>
    <mergeCell ref="B115:B119"/>
    <mergeCell ref="C121:H128"/>
    <mergeCell ref="B124:B128"/>
    <mergeCell ref="C76:H83"/>
    <mergeCell ref="B79:B83"/>
    <mergeCell ref="C85:H92"/>
    <mergeCell ref="B88:B92"/>
    <mergeCell ref="C94:H101"/>
    <mergeCell ref="B97:B101"/>
    <mergeCell ref="C49:H56"/>
    <mergeCell ref="B52:B56"/>
    <mergeCell ref="C58:H65"/>
    <mergeCell ref="B61:B65"/>
    <mergeCell ref="C67:H74"/>
    <mergeCell ref="B70:B74"/>
    <mergeCell ref="C22:H29"/>
    <mergeCell ref="B25:B29"/>
    <mergeCell ref="C31:H38"/>
    <mergeCell ref="B34:B38"/>
    <mergeCell ref="C40:H47"/>
    <mergeCell ref="B43:B47"/>
    <mergeCell ref="C1:H1"/>
    <mergeCell ref="C4:H11"/>
    <mergeCell ref="B7:B11"/>
    <mergeCell ref="I7:J7"/>
    <mergeCell ref="C13:H20"/>
    <mergeCell ref="B16:B20"/>
    <mergeCell ref="C2:D3"/>
    <mergeCell ref="E2:F3"/>
    <mergeCell ref="G2:H3"/>
  </mergeCells>
  <phoneticPr fontId="1"/>
  <conditionalFormatting sqref="B7:B11 B16:B20 B25:B29 B34:B38 B43:B47 B52:B56 B61:B65 B70:B74 B79:B83 B88:B92 B97:B101 B106:B110 B115:B119 B124:B128 B133:B137">
    <cfRule type="cellIs" dxfId="18" priority="7" operator="lessThan">
      <formula>1</formula>
    </cfRule>
  </conditionalFormatting>
  <dataValidations count="2">
    <dataValidation type="whole" imeMode="halfAlpha" allowBlank="1" showInputMessage="1" showErrorMessage="1" sqref="B133:B137 B124:B128 B115:B119 B106:B110 B97:B101 B88:B92 B79:B83 B70:B74 B61:B65 B52:B56 B43:B47 B34:B38 B25:B29 B16:B20 B7:B11" xr:uid="{00000000-0002-0000-0400-000000000000}">
      <formula1>1</formula1>
      <formula2>3</formula2>
    </dataValidation>
    <dataValidation type="textLength" imeMode="hiragana" operator="lessThanOrEqual" allowBlank="1" showInputMessage="1" showErrorMessage="1" sqref="C4:H11 C13:H20 C22:H29 C31:H38 C40:H47 C49:H56 C58:H65 C67:H74 C76:H83 C85:H92 C94:H101 C103:H110 C112:H119 C121:H128 C130:H137" xr:uid="{00000000-0002-0000-0400-000001000000}">
      <formula1>240</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66"/>
  </sheetPr>
  <dimension ref="B1:M57"/>
  <sheetViews>
    <sheetView workbookViewId="0">
      <pane ySplit="3" topLeftCell="A4" activePane="bottomLeft" state="frozen"/>
      <selection pane="bottomLeft" activeCell="G62" sqref="G62"/>
    </sheetView>
  </sheetViews>
  <sheetFormatPr defaultColWidth="9" defaultRowHeight="12.75" x14ac:dyDescent="0.25"/>
  <cols>
    <col min="1" max="1" width="2" style="11" customWidth="1"/>
    <col min="2" max="2" width="10.6640625" style="11" customWidth="1"/>
    <col min="3" max="8" width="9" style="11"/>
    <col min="9" max="9" width="2.33203125" style="10" bestFit="1" customWidth="1"/>
    <col min="10" max="13" width="9" style="10"/>
    <col min="14" max="16384" width="9" style="11"/>
  </cols>
  <sheetData>
    <row r="1" spans="2:10" ht="21" x14ac:dyDescent="0.25">
      <c r="B1" s="25"/>
      <c r="C1" s="224" t="s">
        <v>150</v>
      </c>
      <c r="D1" s="224"/>
      <c r="E1" s="224"/>
      <c r="F1" s="224"/>
      <c r="G1" s="224"/>
      <c r="H1" s="224"/>
    </row>
    <row r="2" spans="2:10" x14ac:dyDescent="0.25">
      <c r="C2" s="227">
        <f>基本情報!$B$2</f>
        <v>0</v>
      </c>
      <c r="D2" s="227"/>
      <c r="E2" s="225">
        <f>基本情報!$B$3</f>
        <v>0</v>
      </c>
      <c r="F2" s="225"/>
      <c r="G2" s="229" t="str">
        <f>IF(計算シート!$M$78=0,"",計算シート!$M$78&amp;"/48　特記入力済み")</f>
        <v/>
      </c>
      <c r="H2" s="229"/>
    </row>
    <row r="3" spans="2:10" ht="13.15" thickBot="1" x14ac:dyDescent="0.3">
      <c r="B3" s="12"/>
      <c r="C3" s="228"/>
      <c r="D3" s="228"/>
      <c r="E3" s="226"/>
      <c r="F3" s="226"/>
      <c r="G3" s="230"/>
      <c r="H3" s="230"/>
    </row>
    <row r="4" spans="2:10" ht="27" customHeight="1" thickBot="1" x14ac:dyDescent="0.3">
      <c r="B4" s="13" t="s">
        <v>151</v>
      </c>
      <c r="C4" s="195"/>
      <c r="D4" s="196"/>
      <c r="E4" s="196"/>
      <c r="F4" s="196"/>
      <c r="G4" s="196"/>
      <c r="H4" s="197"/>
      <c r="I4" s="85" t="str">
        <f>IF(C4="","",LEN(C4)&amp;"/240　文字")</f>
        <v/>
      </c>
    </row>
    <row r="5" spans="2:10" ht="27" customHeight="1" thickBot="1" x14ac:dyDescent="0.3">
      <c r="B5" s="15" t="s">
        <v>157</v>
      </c>
      <c r="C5" s="198"/>
      <c r="D5" s="199"/>
      <c r="E5" s="199"/>
      <c r="F5" s="199"/>
      <c r="G5" s="199"/>
      <c r="H5" s="200"/>
      <c r="I5" s="14"/>
    </row>
    <row r="6" spans="2:10" ht="27" customHeight="1" thickBot="1" x14ac:dyDescent="0.3">
      <c r="B6" s="33" t="str">
        <f>IF(B7="","",VLOOKUP(B7,I9:J11,2,FALSE))</f>
        <v/>
      </c>
      <c r="C6" s="198"/>
      <c r="D6" s="199"/>
      <c r="E6" s="199"/>
      <c r="F6" s="199"/>
      <c r="G6" s="199"/>
      <c r="H6" s="200"/>
      <c r="I6" s="16"/>
      <c r="J6" s="17"/>
    </row>
    <row r="7" spans="2:10" ht="23.1" customHeight="1" thickBot="1" x14ac:dyDescent="0.3">
      <c r="B7" s="221"/>
      <c r="C7" s="198"/>
      <c r="D7" s="199"/>
      <c r="E7" s="199"/>
      <c r="F7" s="199"/>
      <c r="G7" s="199"/>
      <c r="H7" s="200"/>
      <c r="I7" s="231"/>
      <c r="J7" s="231"/>
    </row>
    <row r="8" spans="2:10" ht="23.1" customHeight="1" thickBot="1" x14ac:dyDescent="0.3">
      <c r="B8" s="222"/>
      <c r="C8" s="198"/>
      <c r="D8" s="199"/>
      <c r="E8" s="199"/>
      <c r="F8" s="199"/>
      <c r="G8" s="199"/>
      <c r="H8" s="200"/>
      <c r="I8" s="11"/>
      <c r="J8" s="11"/>
    </row>
    <row r="9" spans="2:10" ht="23.1" customHeight="1" thickBot="1" x14ac:dyDescent="0.3">
      <c r="B9" s="222"/>
      <c r="C9" s="198"/>
      <c r="D9" s="199"/>
      <c r="E9" s="199"/>
      <c r="F9" s="199"/>
      <c r="G9" s="199"/>
      <c r="H9" s="200"/>
      <c r="I9" s="14">
        <v>1</v>
      </c>
      <c r="J9" s="14" t="s">
        <v>90</v>
      </c>
    </row>
    <row r="10" spans="2:10" ht="23.1" customHeight="1" thickBot="1" x14ac:dyDescent="0.3">
      <c r="B10" s="222"/>
      <c r="C10" s="198"/>
      <c r="D10" s="199"/>
      <c r="E10" s="199"/>
      <c r="F10" s="199"/>
      <c r="G10" s="199"/>
      <c r="H10" s="200"/>
      <c r="I10" s="14">
        <v>2</v>
      </c>
      <c r="J10" s="14" t="s">
        <v>53</v>
      </c>
    </row>
    <row r="11" spans="2:10" ht="23.1" customHeight="1" thickBot="1" x14ac:dyDescent="0.3">
      <c r="B11" s="223"/>
      <c r="C11" s="201"/>
      <c r="D11" s="202"/>
      <c r="E11" s="202"/>
      <c r="F11" s="202"/>
      <c r="G11" s="202"/>
      <c r="H11" s="203"/>
      <c r="I11" s="14">
        <v>3</v>
      </c>
      <c r="J11" s="14" t="s">
        <v>54</v>
      </c>
    </row>
    <row r="12" spans="2:10" ht="20.100000000000001" customHeight="1" thickBot="1" x14ac:dyDescent="0.3">
      <c r="I12" s="17"/>
      <c r="J12" s="17"/>
    </row>
    <row r="13" spans="2:10" ht="27" customHeight="1" thickBot="1" x14ac:dyDescent="0.3">
      <c r="B13" s="13" t="s">
        <v>152</v>
      </c>
      <c r="C13" s="195"/>
      <c r="D13" s="196"/>
      <c r="E13" s="196"/>
      <c r="F13" s="196"/>
      <c r="G13" s="196"/>
      <c r="H13" s="197"/>
      <c r="I13" s="85" t="str">
        <f>IF(C13="","",LEN(C13)&amp;"/240　文字")</f>
        <v/>
      </c>
    </row>
    <row r="14" spans="2:10" ht="27" customHeight="1" thickBot="1" x14ac:dyDescent="0.3">
      <c r="B14" s="26" t="s">
        <v>158</v>
      </c>
      <c r="C14" s="198"/>
      <c r="D14" s="199"/>
      <c r="E14" s="199"/>
      <c r="F14" s="199"/>
      <c r="G14" s="199"/>
      <c r="H14" s="200"/>
      <c r="I14" s="14"/>
    </row>
    <row r="15" spans="2:10" ht="27" customHeight="1" thickBot="1" x14ac:dyDescent="0.3">
      <c r="B15" s="33" t="str">
        <f>IF(B16="","",VLOOKUP(B16,I18:J20,2,FALSE))</f>
        <v/>
      </c>
      <c r="C15" s="198"/>
      <c r="D15" s="199"/>
      <c r="E15" s="199"/>
      <c r="F15" s="199"/>
      <c r="G15" s="199"/>
      <c r="H15" s="200"/>
      <c r="I15" s="16"/>
      <c r="J15" s="17"/>
    </row>
    <row r="16" spans="2:10" ht="23.1" customHeight="1" thickBot="1" x14ac:dyDescent="0.3">
      <c r="B16" s="221"/>
      <c r="C16" s="198"/>
      <c r="D16" s="199"/>
      <c r="E16" s="199"/>
      <c r="F16" s="199"/>
      <c r="G16" s="199"/>
      <c r="H16" s="200"/>
      <c r="I16" s="231"/>
      <c r="J16" s="231"/>
    </row>
    <row r="17" spans="2:10" ht="23.1" customHeight="1" thickBot="1" x14ac:dyDescent="0.3">
      <c r="B17" s="222"/>
      <c r="C17" s="198"/>
      <c r="D17" s="199"/>
      <c r="E17" s="199"/>
      <c r="F17" s="199"/>
      <c r="G17" s="199"/>
      <c r="H17" s="200"/>
      <c r="I17" s="11"/>
      <c r="J17" s="11"/>
    </row>
    <row r="18" spans="2:10" ht="23.1" customHeight="1" thickBot="1" x14ac:dyDescent="0.3">
      <c r="B18" s="222"/>
      <c r="C18" s="198"/>
      <c r="D18" s="199"/>
      <c r="E18" s="199"/>
      <c r="F18" s="199"/>
      <c r="G18" s="199"/>
      <c r="H18" s="200"/>
      <c r="I18" s="14">
        <v>1</v>
      </c>
      <c r="J18" s="14" t="s">
        <v>90</v>
      </c>
    </row>
    <row r="19" spans="2:10" ht="23.1" customHeight="1" thickBot="1" x14ac:dyDescent="0.3">
      <c r="B19" s="222"/>
      <c r="C19" s="198"/>
      <c r="D19" s="199"/>
      <c r="E19" s="199"/>
      <c r="F19" s="199"/>
      <c r="G19" s="199"/>
      <c r="H19" s="200"/>
      <c r="I19" s="14">
        <v>2</v>
      </c>
      <c r="J19" s="14" t="s">
        <v>53</v>
      </c>
    </row>
    <row r="20" spans="2:10" ht="23.1" customHeight="1" thickBot="1" x14ac:dyDescent="0.3">
      <c r="B20" s="223"/>
      <c r="C20" s="201"/>
      <c r="D20" s="202"/>
      <c r="E20" s="202"/>
      <c r="F20" s="202"/>
      <c r="G20" s="202"/>
      <c r="H20" s="203"/>
      <c r="I20" s="14">
        <v>3</v>
      </c>
      <c r="J20" s="14" t="s">
        <v>54</v>
      </c>
    </row>
    <row r="21" spans="2:10" ht="20.100000000000001" customHeight="1" thickBot="1" x14ac:dyDescent="0.3"/>
    <row r="22" spans="2:10" ht="27" customHeight="1" thickBot="1" x14ac:dyDescent="0.3">
      <c r="B22" s="13" t="s">
        <v>153</v>
      </c>
      <c r="C22" s="195"/>
      <c r="D22" s="196"/>
      <c r="E22" s="196"/>
      <c r="F22" s="196"/>
      <c r="G22" s="196"/>
      <c r="H22" s="197"/>
      <c r="I22" s="85" t="str">
        <f>IF(C22="","",LEN(C22)&amp;"/240　文字")</f>
        <v/>
      </c>
    </row>
    <row r="23" spans="2:10" ht="27" customHeight="1" thickBot="1" x14ac:dyDescent="0.3">
      <c r="B23" s="24" t="s">
        <v>159</v>
      </c>
      <c r="C23" s="198"/>
      <c r="D23" s="199"/>
      <c r="E23" s="199"/>
      <c r="F23" s="199"/>
      <c r="G23" s="199"/>
      <c r="H23" s="200"/>
      <c r="I23" s="14"/>
    </row>
    <row r="24" spans="2:10" ht="27" customHeight="1" thickBot="1" x14ac:dyDescent="0.3">
      <c r="B24" s="32" t="str">
        <f>IF(B25="","",VLOOKUP(B25,I26:J29,2,FALSE))</f>
        <v/>
      </c>
      <c r="C24" s="198"/>
      <c r="D24" s="199"/>
      <c r="E24" s="199"/>
      <c r="F24" s="199"/>
      <c r="G24" s="199"/>
      <c r="H24" s="200"/>
      <c r="I24" s="16"/>
      <c r="J24" s="17"/>
    </row>
    <row r="25" spans="2:10" ht="23.1" customHeight="1" thickBot="1" x14ac:dyDescent="0.3">
      <c r="B25" s="221"/>
      <c r="C25" s="198"/>
      <c r="D25" s="199"/>
      <c r="E25" s="199"/>
      <c r="F25" s="199"/>
      <c r="G25" s="199"/>
      <c r="H25" s="200"/>
      <c r="I25" s="231"/>
      <c r="J25" s="231"/>
    </row>
    <row r="26" spans="2:10" ht="23.1" customHeight="1" thickBot="1" x14ac:dyDescent="0.3">
      <c r="B26" s="222"/>
      <c r="C26" s="198"/>
      <c r="D26" s="199"/>
      <c r="E26" s="199"/>
      <c r="F26" s="199"/>
      <c r="G26" s="199"/>
      <c r="H26" s="200"/>
      <c r="I26" s="14">
        <v>1</v>
      </c>
      <c r="J26" s="14" t="s">
        <v>49</v>
      </c>
    </row>
    <row r="27" spans="2:10" ht="23.1" customHeight="1" thickBot="1" x14ac:dyDescent="0.3">
      <c r="B27" s="222"/>
      <c r="C27" s="198"/>
      <c r="D27" s="199"/>
      <c r="E27" s="199"/>
      <c r="F27" s="199"/>
      <c r="G27" s="199"/>
      <c r="H27" s="200"/>
      <c r="I27" s="14">
        <v>2</v>
      </c>
      <c r="J27" s="14" t="s">
        <v>163</v>
      </c>
    </row>
    <row r="28" spans="2:10" ht="23.1" customHeight="1" thickBot="1" x14ac:dyDescent="0.3">
      <c r="B28" s="222"/>
      <c r="C28" s="198"/>
      <c r="D28" s="199"/>
      <c r="E28" s="199"/>
      <c r="F28" s="199"/>
      <c r="G28" s="199"/>
      <c r="H28" s="200"/>
      <c r="I28" s="14">
        <v>3</v>
      </c>
      <c r="J28" s="14" t="s">
        <v>164</v>
      </c>
    </row>
    <row r="29" spans="2:10" ht="23.1" customHeight="1" thickBot="1" x14ac:dyDescent="0.3">
      <c r="B29" s="223"/>
      <c r="C29" s="201"/>
      <c r="D29" s="202"/>
      <c r="E29" s="202"/>
      <c r="F29" s="202"/>
      <c r="G29" s="202"/>
      <c r="H29" s="203"/>
      <c r="I29" s="14">
        <v>4</v>
      </c>
      <c r="J29" s="14" t="s">
        <v>165</v>
      </c>
    </row>
    <row r="30" spans="2:10" ht="20.100000000000001" customHeight="1" thickBot="1" x14ac:dyDescent="0.3"/>
    <row r="31" spans="2:10" ht="27" customHeight="1" thickBot="1" x14ac:dyDescent="0.3">
      <c r="B31" s="13" t="s">
        <v>156</v>
      </c>
      <c r="C31" s="195"/>
      <c r="D31" s="196"/>
      <c r="E31" s="196"/>
      <c r="F31" s="196"/>
      <c r="G31" s="196"/>
      <c r="H31" s="197"/>
      <c r="I31" s="85" t="str">
        <f>IF(C31="","",LEN(C31)&amp;"/240　文字")</f>
        <v/>
      </c>
    </row>
    <row r="32" spans="2:10" ht="27" customHeight="1" thickBot="1" x14ac:dyDescent="0.3">
      <c r="B32" s="24" t="s">
        <v>160</v>
      </c>
      <c r="C32" s="198"/>
      <c r="D32" s="199"/>
      <c r="E32" s="199"/>
      <c r="F32" s="199"/>
      <c r="G32" s="199"/>
      <c r="H32" s="200"/>
      <c r="I32" s="14"/>
    </row>
    <row r="33" spans="2:10" ht="27" customHeight="1" thickBot="1" x14ac:dyDescent="0.3">
      <c r="B33" s="33" t="str">
        <f>IF(B34="","",VLOOKUP(B34,I36:J38,2,FALSE))</f>
        <v/>
      </c>
      <c r="C33" s="198"/>
      <c r="D33" s="199"/>
      <c r="E33" s="199"/>
      <c r="F33" s="199"/>
      <c r="G33" s="199"/>
      <c r="H33" s="200"/>
      <c r="I33" s="16"/>
      <c r="J33" s="17"/>
    </row>
    <row r="34" spans="2:10" ht="23.1" customHeight="1" thickBot="1" x14ac:dyDescent="0.3">
      <c r="B34" s="221"/>
      <c r="C34" s="198"/>
      <c r="D34" s="199"/>
      <c r="E34" s="199"/>
      <c r="F34" s="199"/>
      <c r="G34" s="199"/>
      <c r="H34" s="200"/>
      <c r="I34" s="231"/>
      <c r="J34" s="231"/>
    </row>
    <row r="35" spans="2:10" ht="23.1" customHeight="1" thickBot="1" x14ac:dyDescent="0.3">
      <c r="B35" s="222"/>
      <c r="C35" s="198"/>
      <c r="D35" s="199"/>
      <c r="E35" s="199"/>
      <c r="F35" s="199"/>
      <c r="G35" s="199"/>
      <c r="H35" s="200"/>
      <c r="I35" s="11"/>
      <c r="J35" s="11"/>
    </row>
    <row r="36" spans="2:10" ht="23.1" customHeight="1" thickBot="1" x14ac:dyDescent="0.3">
      <c r="B36" s="222"/>
      <c r="C36" s="198"/>
      <c r="D36" s="199"/>
      <c r="E36" s="199"/>
      <c r="F36" s="199"/>
      <c r="G36" s="199"/>
      <c r="H36" s="200"/>
      <c r="I36" s="14">
        <v>1</v>
      </c>
      <c r="J36" s="14" t="s">
        <v>146</v>
      </c>
    </row>
    <row r="37" spans="2:10" ht="23.1" customHeight="1" thickBot="1" x14ac:dyDescent="0.3">
      <c r="B37" s="222"/>
      <c r="C37" s="198"/>
      <c r="D37" s="199"/>
      <c r="E37" s="199"/>
      <c r="F37" s="199"/>
      <c r="G37" s="199"/>
      <c r="H37" s="200"/>
      <c r="I37" s="14">
        <v>2</v>
      </c>
      <c r="J37" s="14" t="s">
        <v>147</v>
      </c>
    </row>
    <row r="38" spans="2:10" ht="23.1" customHeight="1" thickBot="1" x14ac:dyDescent="0.3">
      <c r="B38" s="223"/>
      <c r="C38" s="201"/>
      <c r="D38" s="202"/>
      <c r="E38" s="202"/>
      <c r="F38" s="202"/>
      <c r="G38" s="202"/>
      <c r="H38" s="203"/>
      <c r="I38" s="14">
        <v>3</v>
      </c>
      <c r="J38" s="14" t="s">
        <v>148</v>
      </c>
    </row>
    <row r="39" spans="2:10" ht="20.100000000000001" customHeight="1" thickBot="1" x14ac:dyDescent="0.3"/>
    <row r="40" spans="2:10" ht="27" customHeight="1" thickBot="1" x14ac:dyDescent="0.3">
      <c r="B40" s="13" t="s">
        <v>154</v>
      </c>
      <c r="C40" s="195"/>
      <c r="D40" s="196"/>
      <c r="E40" s="196"/>
      <c r="F40" s="196"/>
      <c r="G40" s="196"/>
      <c r="H40" s="197"/>
      <c r="I40" s="85" t="str">
        <f>IF(C40="","",LEN(C40)&amp;"/240　文字")</f>
        <v/>
      </c>
    </row>
    <row r="41" spans="2:10" ht="27" customHeight="1" thickBot="1" x14ac:dyDescent="0.3">
      <c r="B41" s="24" t="s">
        <v>161</v>
      </c>
      <c r="C41" s="198"/>
      <c r="D41" s="199"/>
      <c r="E41" s="199"/>
      <c r="F41" s="199"/>
      <c r="G41" s="199"/>
      <c r="H41" s="200"/>
      <c r="I41" s="14"/>
    </row>
    <row r="42" spans="2:10" ht="27" customHeight="1" thickBot="1" x14ac:dyDescent="0.3">
      <c r="B42" s="33" t="str">
        <f>IF(B43="","",VLOOKUP(B43,I44:J47,2,FALSE))</f>
        <v/>
      </c>
      <c r="C42" s="198"/>
      <c r="D42" s="199"/>
      <c r="E42" s="199"/>
      <c r="F42" s="199"/>
      <c r="G42" s="199"/>
      <c r="H42" s="200"/>
      <c r="I42" s="16"/>
      <c r="J42" s="17"/>
    </row>
    <row r="43" spans="2:10" ht="23.1" customHeight="1" thickBot="1" x14ac:dyDescent="0.3">
      <c r="B43" s="221"/>
      <c r="C43" s="198"/>
      <c r="D43" s="199"/>
      <c r="E43" s="199"/>
      <c r="F43" s="199"/>
      <c r="G43" s="199"/>
      <c r="H43" s="200"/>
      <c r="I43" s="231"/>
      <c r="J43" s="231"/>
    </row>
    <row r="44" spans="2:10" ht="23.1" customHeight="1" thickBot="1" x14ac:dyDescent="0.3">
      <c r="B44" s="222"/>
      <c r="C44" s="198"/>
      <c r="D44" s="199"/>
      <c r="E44" s="199"/>
      <c r="F44" s="199"/>
      <c r="G44" s="199"/>
      <c r="H44" s="200"/>
      <c r="I44" s="14">
        <v>1</v>
      </c>
      <c r="J44" s="14" t="s">
        <v>90</v>
      </c>
    </row>
    <row r="45" spans="2:10" ht="23.1" customHeight="1" thickBot="1" x14ac:dyDescent="0.3">
      <c r="B45" s="222"/>
      <c r="C45" s="198"/>
      <c r="D45" s="199"/>
      <c r="E45" s="199"/>
      <c r="F45" s="199"/>
      <c r="G45" s="199"/>
      <c r="H45" s="200"/>
      <c r="I45" s="14">
        <v>2</v>
      </c>
      <c r="J45" s="14" t="s">
        <v>89</v>
      </c>
    </row>
    <row r="46" spans="2:10" ht="23.1" customHeight="1" thickBot="1" x14ac:dyDescent="0.3">
      <c r="B46" s="222"/>
      <c r="C46" s="198"/>
      <c r="D46" s="199"/>
      <c r="E46" s="199"/>
      <c r="F46" s="199"/>
      <c r="G46" s="199"/>
      <c r="H46" s="200"/>
      <c r="I46" s="14">
        <v>3</v>
      </c>
      <c r="J46" s="14" t="s">
        <v>53</v>
      </c>
    </row>
    <row r="47" spans="2:10" ht="23.1" customHeight="1" thickBot="1" x14ac:dyDescent="0.3">
      <c r="B47" s="223"/>
      <c r="C47" s="201"/>
      <c r="D47" s="202"/>
      <c r="E47" s="202"/>
      <c r="F47" s="202"/>
      <c r="G47" s="202"/>
      <c r="H47" s="203"/>
      <c r="I47" s="14">
        <v>4</v>
      </c>
      <c r="J47" s="14" t="s">
        <v>54</v>
      </c>
    </row>
    <row r="48" spans="2:10" ht="20.100000000000001" customHeight="1" thickBot="1" x14ac:dyDescent="0.3"/>
    <row r="49" spans="2:10" ht="27" customHeight="1" thickBot="1" x14ac:dyDescent="0.3">
      <c r="B49" s="13" t="s">
        <v>155</v>
      </c>
      <c r="C49" s="195"/>
      <c r="D49" s="196"/>
      <c r="E49" s="196"/>
      <c r="F49" s="196"/>
      <c r="G49" s="196"/>
      <c r="H49" s="197"/>
      <c r="I49" s="85" t="str">
        <f>IF(C49="","",LEN(C49)&amp;"/240　文字")</f>
        <v/>
      </c>
    </row>
    <row r="50" spans="2:10" ht="27" customHeight="1" thickBot="1" x14ac:dyDescent="0.3">
      <c r="B50" s="26" t="s">
        <v>162</v>
      </c>
      <c r="C50" s="198"/>
      <c r="D50" s="199"/>
      <c r="E50" s="199"/>
      <c r="F50" s="199"/>
      <c r="G50" s="199"/>
      <c r="H50" s="200"/>
      <c r="I50" s="14"/>
    </row>
    <row r="51" spans="2:10" ht="27" customHeight="1" thickBot="1" x14ac:dyDescent="0.3">
      <c r="B51" s="33" t="str">
        <f>IF(B52="","",VLOOKUP(B52,I53:J56,2,FALSE))</f>
        <v/>
      </c>
      <c r="C51" s="198"/>
      <c r="D51" s="199"/>
      <c r="E51" s="199"/>
      <c r="F51" s="199"/>
      <c r="G51" s="199"/>
      <c r="H51" s="200"/>
      <c r="I51" s="16"/>
      <c r="J51" s="17"/>
    </row>
    <row r="52" spans="2:10" ht="23.1" customHeight="1" thickBot="1" x14ac:dyDescent="0.3">
      <c r="B52" s="221"/>
      <c r="C52" s="198"/>
      <c r="D52" s="199"/>
      <c r="E52" s="199"/>
      <c r="F52" s="199"/>
      <c r="G52" s="199"/>
      <c r="H52" s="200"/>
      <c r="I52" s="231"/>
      <c r="J52" s="231"/>
    </row>
    <row r="53" spans="2:10" ht="23.1" customHeight="1" thickBot="1" x14ac:dyDescent="0.3">
      <c r="B53" s="222"/>
      <c r="C53" s="198"/>
      <c r="D53" s="199"/>
      <c r="E53" s="199"/>
      <c r="F53" s="199"/>
      <c r="G53" s="199"/>
      <c r="H53" s="200"/>
      <c r="I53" s="14">
        <v>1</v>
      </c>
      <c r="J53" s="14" t="s">
        <v>90</v>
      </c>
    </row>
    <row r="54" spans="2:10" ht="23.1" customHeight="1" thickBot="1" x14ac:dyDescent="0.3">
      <c r="B54" s="222"/>
      <c r="C54" s="198"/>
      <c r="D54" s="199"/>
      <c r="E54" s="199"/>
      <c r="F54" s="199"/>
      <c r="G54" s="199"/>
      <c r="H54" s="200"/>
      <c r="I54" s="14">
        <v>2</v>
      </c>
      <c r="J54" s="14" t="s">
        <v>89</v>
      </c>
    </row>
    <row r="55" spans="2:10" ht="23.1" customHeight="1" thickBot="1" x14ac:dyDescent="0.3">
      <c r="B55" s="222"/>
      <c r="C55" s="198"/>
      <c r="D55" s="199"/>
      <c r="E55" s="199"/>
      <c r="F55" s="199"/>
      <c r="G55" s="199"/>
      <c r="H55" s="200"/>
      <c r="I55" s="14">
        <v>3</v>
      </c>
      <c r="J55" s="14" t="s">
        <v>53</v>
      </c>
    </row>
    <row r="56" spans="2:10" ht="23.1" customHeight="1" thickBot="1" x14ac:dyDescent="0.3">
      <c r="B56" s="223"/>
      <c r="C56" s="201"/>
      <c r="D56" s="202"/>
      <c r="E56" s="202"/>
      <c r="F56" s="202"/>
      <c r="G56" s="202"/>
      <c r="H56" s="203"/>
      <c r="I56" s="14">
        <v>4</v>
      </c>
      <c r="J56" s="14" t="s">
        <v>54</v>
      </c>
    </row>
    <row r="57" spans="2:10" ht="20.100000000000001" customHeight="1" x14ac:dyDescent="0.25"/>
  </sheetData>
  <sheetProtection selectLockedCells="1"/>
  <mergeCells count="22">
    <mergeCell ref="C40:H47"/>
    <mergeCell ref="B43:B47"/>
    <mergeCell ref="I43:J43"/>
    <mergeCell ref="C49:H56"/>
    <mergeCell ref="B52:B56"/>
    <mergeCell ref="I52:J52"/>
    <mergeCell ref="C22:H29"/>
    <mergeCell ref="B25:B29"/>
    <mergeCell ref="I25:J25"/>
    <mergeCell ref="C31:H38"/>
    <mergeCell ref="B34:B38"/>
    <mergeCell ref="I34:J34"/>
    <mergeCell ref="C1:H1"/>
    <mergeCell ref="C4:H11"/>
    <mergeCell ref="B7:B11"/>
    <mergeCell ref="I7:J7"/>
    <mergeCell ref="C13:H20"/>
    <mergeCell ref="B16:B20"/>
    <mergeCell ref="I16:J16"/>
    <mergeCell ref="C2:D3"/>
    <mergeCell ref="E2:F3"/>
    <mergeCell ref="G2:H3"/>
  </mergeCells>
  <phoneticPr fontId="1"/>
  <conditionalFormatting sqref="B7:B11 B16:B20 B25:B29 B34:B38 B43:B47 B52:B56">
    <cfRule type="cellIs" dxfId="17" priority="1" operator="lessThan">
      <formula>1</formula>
    </cfRule>
  </conditionalFormatting>
  <dataValidations count="3">
    <dataValidation type="whole" imeMode="halfAlpha" allowBlank="1" showInputMessage="1" showErrorMessage="1" sqref="B52:B56 B43:B47 B25:B29" xr:uid="{00000000-0002-0000-0500-000000000000}">
      <formula1>1</formula1>
      <formula2>4</formula2>
    </dataValidation>
    <dataValidation type="whole" imeMode="halfAlpha" allowBlank="1" showInputMessage="1" showErrorMessage="1" sqref="B34:B38 B16:B20 B7:B11" xr:uid="{00000000-0002-0000-0500-000001000000}">
      <formula1>1</formula1>
      <formula2>3</formula2>
    </dataValidation>
    <dataValidation type="textLength" imeMode="hiragana" operator="lessThanOrEqual" allowBlank="1" showInputMessage="1" showErrorMessage="1" sqref="C4:H11 C13:H20 C22:H29 C31:H38 C40:H47 C49:H56" xr:uid="{00000000-0002-0000-0500-000002000000}">
      <formula1>240</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FF66"/>
  </sheetPr>
  <dimension ref="B1:S137"/>
  <sheetViews>
    <sheetView zoomScaleNormal="100" workbookViewId="0">
      <pane ySplit="3" topLeftCell="A4" activePane="bottomLeft" state="frozen"/>
      <selection pane="bottomLeft" activeCell="L16" sqref="L16:L20"/>
    </sheetView>
  </sheetViews>
  <sheetFormatPr defaultColWidth="9" defaultRowHeight="12.75" x14ac:dyDescent="0.25"/>
  <cols>
    <col min="1" max="1" width="2" style="11" customWidth="1"/>
    <col min="2" max="2" width="10.6640625" style="11" customWidth="1"/>
    <col min="3" max="8" width="9" style="11"/>
    <col min="9" max="9" width="2.33203125" style="10" bestFit="1" customWidth="1"/>
    <col min="10" max="11" width="9" style="10"/>
    <col min="12" max="12" width="10.6640625" style="10" customWidth="1"/>
    <col min="13" max="16384" width="9" style="11"/>
  </cols>
  <sheetData>
    <row r="1" spans="2:19" ht="21" x14ac:dyDescent="0.25">
      <c r="B1" s="25"/>
      <c r="C1" s="232" t="s">
        <v>166</v>
      </c>
      <c r="D1" s="232"/>
      <c r="E1" s="232"/>
      <c r="F1" s="232"/>
      <c r="G1" s="232"/>
      <c r="H1" s="232"/>
      <c r="M1" s="224" t="s">
        <v>216</v>
      </c>
      <c r="N1" s="224"/>
      <c r="O1" s="224"/>
      <c r="P1" s="224"/>
      <c r="Q1" s="224"/>
      <c r="R1" s="224"/>
    </row>
    <row r="2" spans="2:19" x14ac:dyDescent="0.25">
      <c r="C2" s="227">
        <f>基本情報!$B$2</f>
        <v>0</v>
      </c>
      <c r="D2" s="227"/>
      <c r="E2" s="225">
        <f>基本情報!$B$3</f>
        <v>0</v>
      </c>
      <c r="F2" s="225"/>
      <c r="G2" s="229" t="str">
        <f>IF(計算シート!$M$78=0,"",計算シート!$M$78&amp;"/48　特記入力済み")</f>
        <v/>
      </c>
      <c r="H2" s="229"/>
      <c r="M2" s="227">
        <f>基本情報!$B$2</f>
        <v>0</v>
      </c>
      <c r="N2" s="227"/>
      <c r="O2" s="225">
        <f>基本情報!$B$3</f>
        <v>0</v>
      </c>
      <c r="P2" s="225"/>
      <c r="Q2" s="229" t="str">
        <f>IF(計算シート!$M$78=0,"",計算シート!$M$78&amp;"/48　特記入力済み")</f>
        <v/>
      </c>
      <c r="R2" s="229"/>
    </row>
    <row r="3" spans="2:19" ht="13.15" thickBot="1" x14ac:dyDescent="0.3">
      <c r="B3" s="12"/>
      <c r="C3" s="228"/>
      <c r="D3" s="228"/>
      <c r="E3" s="226"/>
      <c r="F3" s="226"/>
      <c r="G3" s="230"/>
      <c r="H3" s="230"/>
      <c r="M3" s="228"/>
      <c r="N3" s="228"/>
      <c r="O3" s="226"/>
      <c r="P3" s="226"/>
      <c r="Q3" s="230"/>
      <c r="R3" s="230"/>
    </row>
    <row r="4" spans="2:19" ht="27" customHeight="1" thickBot="1" x14ac:dyDescent="0.3">
      <c r="B4" s="13" t="s">
        <v>167</v>
      </c>
      <c r="C4" s="195"/>
      <c r="D4" s="196"/>
      <c r="E4" s="196"/>
      <c r="F4" s="196"/>
      <c r="G4" s="196"/>
      <c r="H4" s="197"/>
      <c r="I4" s="85" t="str">
        <f>IF(C4="","",LEN(C4)&amp;"/240　文字")</f>
        <v/>
      </c>
      <c r="L4" s="13" t="s">
        <v>217</v>
      </c>
      <c r="M4" s="195"/>
      <c r="N4" s="196"/>
      <c r="O4" s="196"/>
      <c r="P4" s="196"/>
      <c r="Q4" s="196"/>
      <c r="R4" s="197"/>
      <c r="S4" s="85" t="str">
        <f>IF(M4="","",LEN(M4)&amp;"/240　文字")</f>
        <v/>
      </c>
    </row>
    <row r="5" spans="2:19" ht="27" customHeight="1" thickBot="1" x14ac:dyDescent="0.3">
      <c r="B5" s="26" t="s">
        <v>179</v>
      </c>
      <c r="C5" s="198"/>
      <c r="D5" s="199"/>
      <c r="E5" s="199"/>
      <c r="F5" s="199"/>
      <c r="G5" s="199"/>
      <c r="H5" s="200"/>
      <c r="I5" s="14"/>
      <c r="L5" s="26" t="s">
        <v>219</v>
      </c>
      <c r="M5" s="198"/>
      <c r="N5" s="199"/>
      <c r="O5" s="199"/>
      <c r="P5" s="199"/>
      <c r="Q5" s="199"/>
      <c r="R5" s="200"/>
      <c r="S5" s="86"/>
    </row>
    <row r="6" spans="2:19" ht="27" customHeight="1" thickBot="1" x14ac:dyDescent="0.3">
      <c r="B6" s="33" t="str">
        <f>IF(計算シート!B15=TRUE,"該当あり","")</f>
        <v/>
      </c>
      <c r="C6" s="198"/>
      <c r="D6" s="199"/>
      <c r="E6" s="199"/>
      <c r="F6" s="199"/>
      <c r="G6" s="199"/>
      <c r="H6" s="200"/>
      <c r="I6" s="16"/>
      <c r="J6" s="17"/>
      <c r="L6" s="41" t="str">
        <f>IF(L7="","",L7)</f>
        <v/>
      </c>
      <c r="M6" s="198"/>
      <c r="N6" s="199"/>
      <c r="O6" s="199"/>
      <c r="P6" s="199"/>
      <c r="Q6" s="199"/>
      <c r="R6" s="200"/>
      <c r="S6" s="87"/>
    </row>
    <row r="7" spans="2:19" ht="23.1" customHeight="1" thickBot="1" x14ac:dyDescent="0.3">
      <c r="B7" s="36"/>
      <c r="C7" s="198"/>
      <c r="D7" s="199"/>
      <c r="E7" s="199"/>
      <c r="F7" s="199"/>
      <c r="G7" s="199"/>
      <c r="H7" s="200"/>
      <c r="I7" s="231"/>
      <c r="J7" s="231"/>
      <c r="L7" s="233"/>
      <c r="M7" s="198"/>
      <c r="N7" s="199"/>
      <c r="O7" s="199"/>
      <c r="P7" s="199"/>
      <c r="Q7" s="199"/>
      <c r="R7" s="200"/>
      <c r="S7" s="44"/>
    </row>
    <row r="8" spans="2:19" ht="23.1" customHeight="1" thickBot="1" x14ac:dyDescent="0.3">
      <c r="B8" s="37"/>
      <c r="C8" s="198"/>
      <c r="D8" s="199"/>
      <c r="E8" s="199"/>
      <c r="F8" s="199"/>
      <c r="G8" s="199"/>
      <c r="H8" s="200"/>
      <c r="I8" s="11"/>
      <c r="J8" s="11"/>
      <c r="L8" s="234"/>
      <c r="M8" s="198"/>
      <c r="N8" s="199"/>
      <c r="O8" s="199"/>
      <c r="P8" s="199"/>
      <c r="Q8" s="199"/>
      <c r="R8" s="200"/>
      <c r="S8" s="40" t="str">
        <f>IF($L$7="","",DBCS($L$7))</f>
        <v/>
      </c>
    </row>
    <row r="9" spans="2:19" ht="23.1" customHeight="1" thickBot="1" x14ac:dyDescent="0.3">
      <c r="B9" s="37"/>
      <c r="C9" s="198"/>
      <c r="D9" s="199"/>
      <c r="E9" s="199"/>
      <c r="F9" s="199"/>
      <c r="G9" s="199"/>
      <c r="H9" s="200"/>
      <c r="I9" s="14"/>
      <c r="J9" s="14"/>
      <c r="L9" s="234"/>
      <c r="M9" s="198"/>
      <c r="N9" s="199"/>
      <c r="O9" s="199"/>
      <c r="P9" s="199"/>
      <c r="Q9" s="199"/>
      <c r="R9" s="200"/>
      <c r="S9" s="42" t="str">
        <f>IF($M$4="","",DBCS($M$4))</f>
        <v/>
      </c>
    </row>
    <row r="10" spans="2:19" ht="23.1" customHeight="1" thickBot="1" x14ac:dyDescent="0.3">
      <c r="B10" s="37"/>
      <c r="C10" s="198"/>
      <c r="D10" s="199"/>
      <c r="E10" s="199"/>
      <c r="F10" s="199"/>
      <c r="G10" s="199"/>
      <c r="H10" s="200"/>
      <c r="I10" s="14"/>
      <c r="J10" s="14"/>
      <c r="L10" s="234"/>
      <c r="M10" s="198"/>
      <c r="N10" s="199"/>
      <c r="O10" s="199"/>
      <c r="P10" s="199"/>
      <c r="Q10" s="199"/>
      <c r="R10" s="200"/>
      <c r="S10" s="40">
        <f>IF($L$7="",0,COUNTIF(S9,"*"&amp;S8&amp;"*"))</f>
        <v>0</v>
      </c>
    </row>
    <row r="11" spans="2:19" ht="23.1" customHeight="1" thickBot="1" x14ac:dyDescent="0.3">
      <c r="B11" s="38"/>
      <c r="C11" s="201"/>
      <c r="D11" s="202"/>
      <c r="E11" s="202"/>
      <c r="F11" s="202"/>
      <c r="G11" s="202"/>
      <c r="H11" s="203"/>
      <c r="I11" s="14"/>
      <c r="J11" s="14"/>
      <c r="L11" s="235"/>
      <c r="M11" s="201"/>
      <c r="N11" s="202"/>
      <c r="O11" s="202"/>
      <c r="P11" s="202"/>
      <c r="Q11" s="202"/>
      <c r="R11" s="203"/>
      <c r="S11" s="44" t="str">
        <f>IF(AND(L7&lt;&gt;"",M4&lt;&gt;"",S10=0),"選択と特記内容は一致してますか？","")</f>
        <v/>
      </c>
    </row>
    <row r="12" spans="2:19" s="10" customFormat="1" ht="20.100000000000001" customHeight="1" thickBot="1" x14ac:dyDescent="0.3">
      <c r="B12" s="11"/>
      <c r="C12" s="11"/>
      <c r="D12" s="11"/>
      <c r="E12" s="11"/>
      <c r="F12" s="11"/>
      <c r="G12" s="11"/>
      <c r="H12" s="11"/>
      <c r="I12" s="17"/>
      <c r="J12" s="17"/>
      <c r="M12" s="11"/>
      <c r="N12" s="11"/>
      <c r="O12" s="11"/>
      <c r="P12" s="11"/>
      <c r="Q12" s="11"/>
      <c r="R12" s="11"/>
      <c r="S12" s="17"/>
    </row>
    <row r="13" spans="2:19" s="10" customFormat="1" ht="27" customHeight="1" thickBot="1" x14ac:dyDescent="0.3">
      <c r="B13" s="13" t="s">
        <v>168</v>
      </c>
      <c r="C13" s="195"/>
      <c r="D13" s="196"/>
      <c r="E13" s="196"/>
      <c r="F13" s="196"/>
      <c r="G13" s="196"/>
      <c r="H13" s="197"/>
      <c r="I13" s="85" t="str">
        <f>IF(C13="","",LEN(C13)&amp;"/240　文字")</f>
        <v/>
      </c>
      <c r="L13" s="13" t="s">
        <v>218</v>
      </c>
      <c r="M13" s="195"/>
      <c r="N13" s="196"/>
      <c r="O13" s="196"/>
      <c r="P13" s="196"/>
      <c r="Q13" s="196"/>
      <c r="R13" s="197"/>
      <c r="S13" s="85" t="str">
        <f>IF(M13="","",LEN(M13)&amp;"/240　文字")</f>
        <v/>
      </c>
    </row>
    <row r="14" spans="2:19" s="10" customFormat="1" ht="27" customHeight="1" thickBot="1" x14ac:dyDescent="0.3">
      <c r="B14" s="26" t="s">
        <v>180</v>
      </c>
      <c r="C14" s="198"/>
      <c r="D14" s="199"/>
      <c r="E14" s="199"/>
      <c r="F14" s="199"/>
      <c r="G14" s="199"/>
      <c r="H14" s="200"/>
      <c r="I14" s="14"/>
      <c r="L14" s="26" t="s">
        <v>220</v>
      </c>
      <c r="M14" s="198"/>
      <c r="N14" s="199"/>
      <c r="O14" s="199"/>
      <c r="P14" s="199"/>
      <c r="Q14" s="199"/>
      <c r="R14" s="200"/>
      <c r="S14" s="42" t="str">
        <f>IF(M13="","",DBCS(M13))</f>
        <v/>
      </c>
    </row>
    <row r="15" spans="2:19" s="10" customFormat="1" ht="27" customHeight="1" thickBot="1" x14ac:dyDescent="0.3">
      <c r="B15" s="33" t="str">
        <f>IF(計算シート!B16=TRUE,"該当あり","")</f>
        <v/>
      </c>
      <c r="C15" s="198"/>
      <c r="D15" s="199"/>
      <c r="E15" s="199"/>
      <c r="F15" s="199"/>
      <c r="G15" s="199"/>
      <c r="H15" s="200"/>
      <c r="I15" s="16"/>
      <c r="J15" s="17"/>
      <c r="L15" s="41" t="str">
        <f>IF(L16="","",L16)</f>
        <v/>
      </c>
      <c r="M15" s="198"/>
      <c r="N15" s="199"/>
      <c r="O15" s="199"/>
      <c r="P15" s="199"/>
      <c r="Q15" s="199"/>
      <c r="R15" s="200"/>
      <c r="S15" s="43">
        <f>IF(L16="",0,COUNTIF(S14,"*"&amp;S13&amp;"*"))</f>
        <v>0</v>
      </c>
    </row>
    <row r="16" spans="2:19" s="10" customFormat="1" ht="23.1" customHeight="1" thickBot="1" x14ac:dyDescent="0.3">
      <c r="B16" s="36"/>
      <c r="C16" s="198"/>
      <c r="D16" s="199"/>
      <c r="E16" s="199"/>
      <c r="F16" s="199"/>
      <c r="G16" s="199"/>
      <c r="H16" s="200"/>
      <c r="I16" s="231"/>
      <c r="J16" s="231"/>
      <c r="L16" s="233"/>
      <c r="M16" s="198"/>
      <c r="N16" s="199"/>
      <c r="O16" s="199"/>
      <c r="P16" s="199"/>
      <c r="Q16" s="199"/>
      <c r="R16" s="200"/>
      <c r="S16" s="39"/>
    </row>
    <row r="17" spans="2:19" s="10" customFormat="1" ht="23.1" customHeight="1" thickBot="1" x14ac:dyDescent="0.3">
      <c r="B17" s="37"/>
      <c r="C17" s="198"/>
      <c r="D17" s="199"/>
      <c r="E17" s="199"/>
      <c r="F17" s="199"/>
      <c r="G17" s="199"/>
      <c r="H17" s="200"/>
      <c r="I17" s="11"/>
      <c r="J17" s="11"/>
      <c r="L17" s="234"/>
      <c r="M17" s="198"/>
      <c r="N17" s="199"/>
      <c r="O17" s="199"/>
      <c r="P17" s="199"/>
      <c r="Q17" s="199"/>
      <c r="R17" s="200"/>
      <c r="S17" s="40" t="str">
        <f>IF($L$16="","",DBCS($L$16))</f>
        <v/>
      </c>
    </row>
    <row r="18" spans="2:19" s="10" customFormat="1" ht="23.1" customHeight="1" thickBot="1" x14ac:dyDescent="0.3">
      <c r="B18" s="37"/>
      <c r="C18" s="198"/>
      <c r="D18" s="199"/>
      <c r="E18" s="199"/>
      <c r="F18" s="199"/>
      <c r="G18" s="199"/>
      <c r="H18" s="200"/>
      <c r="I18" s="14"/>
      <c r="J18" s="14"/>
      <c r="L18" s="234"/>
      <c r="M18" s="198"/>
      <c r="N18" s="199"/>
      <c r="O18" s="199"/>
      <c r="P18" s="199"/>
      <c r="Q18" s="199"/>
      <c r="R18" s="200"/>
      <c r="S18" s="42" t="str">
        <f>IF($M$13="","",DBCS($M$13))</f>
        <v/>
      </c>
    </row>
    <row r="19" spans="2:19" s="10" customFormat="1" ht="23.1" customHeight="1" thickBot="1" x14ac:dyDescent="0.3">
      <c r="B19" s="37"/>
      <c r="C19" s="198"/>
      <c r="D19" s="199"/>
      <c r="E19" s="199"/>
      <c r="F19" s="199"/>
      <c r="G19" s="199"/>
      <c r="H19" s="200"/>
      <c r="I19" s="14"/>
      <c r="J19" s="14"/>
      <c r="L19" s="234"/>
      <c r="M19" s="198"/>
      <c r="N19" s="199"/>
      <c r="O19" s="199"/>
      <c r="P19" s="199"/>
      <c r="Q19" s="199"/>
      <c r="R19" s="200"/>
      <c r="S19" s="40">
        <f>IF($L$16="",0,COUNTIF(S18,"*"&amp;S17&amp;"*"))</f>
        <v>0</v>
      </c>
    </row>
    <row r="20" spans="2:19" s="10" customFormat="1" ht="23.1" customHeight="1" thickBot="1" x14ac:dyDescent="0.3">
      <c r="B20" s="38"/>
      <c r="C20" s="201"/>
      <c r="D20" s="202"/>
      <c r="E20" s="202"/>
      <c r="F20" s="202"/>
      <c r="G20" s="202"/>
      <c r="H20" s="203"/>
      <c r="I20" s="14"/>
      <c r="J20" s="14"/>
      <c r="L20" s="235"/>
      <c r="M20" s="201"/>
      <c r="N20" s="202"/>
      <c r="O20" s="202"/>
      <c r="P20" s="202"/>
      <c r="Q20" s="202"/>
      <c r="R20" s="203"/>
      <c r="S20" s="44" t="str">
        <f>IF(AND(L16&lt;&gt;"",M13&lt;&gt;"",S19=0),"選択と特記内容は一致してますか？","")</f>
        <v/>
      </c>
    </row>
    <row r="21" spans="2:19" s="10" customFormat="1" ht="20.100000000000001" customHeight="1" thickBot="1" x14ac:dyDescent="0.3">
      <c r="B21" s="11"/>
      <c r="C21" s="11"/>
      <c r="D21" s="11"/>
      <c r="E21" s="11"/>
      <c r="F21" s="11"/>
      <c r="G21" s="11"/>
      <c r="H21" s="11"/>
      <c r="M21" s="11"/>
      <c r="N21" s="11"/>
      <c r="O21" s="11"/>
      <c r="P21" s="11"/>
      <c r="Q21" s="11"/>
      <c r="R21" s="11"/>
    </row>
    <row r="22" spans="2:19" s="10" customFormat="1" ht="27" customHeight="1" thickBot="1" x14ac:dyDescent="0.3">
      <c r="B22" s="13" t="s">
        <v>169</v>
      </c>
      <c r="C22" s="195"/>
      <c r="D22" s="196"/>
      <c r="E22" s="196"/>
      <c r="F22" s="196"/>
      <c r="G22" s="196"/>
      <c r="H22" s="197"/>
      <c r="I22" s="85" t="str">
        <f>IF(C22="","",LEN(C22)&amp;"/240　文字")</f>
        <v/>
      </c>
      <c r="M22" s="11"/>
      <c r="N22" s="11"/>
      <c r="O22" s="11"/>
      <c r="P22" s="11"/>
      <c r="Q22" s="11"/>
      <c r="R22" s="11"/>
    </row>
    <row r="23" spans="2:19" s="10" customFormat="1" ht="27" customHeight="1" thickBot="1" x14ac:dyDescent="0.3">
      <c r="B23" s="24" t="s">
        <v>181</v>
      </c>
      <c r="C23" s="198"/>
      <c r="D23" s="199"/>
      <c r="E23" s="199"/>
      <c r="F23" s="199"/>
      <c r="G23" s="199"/>
      <c r="H23" s="200"/>
      <c r="I23" s="14"/>
      <c r="M23" s="11"/>
      <c r="N23" s="11"/>
      <c r="O23" s="11"/>
      <c r="P23" s="11"/>
      <c r="Q23" s="11"/>
      <c r="R23" s="11"/>
    </row>
    <row r="24" spans="2:19" s="10" customFormat="1" ht="27" customHeight="1" thickBot="1" x14ac:dyDescent="0.3">
      <c r="B24" s="33" t="str">
        <f>IF(計算シート!B17=TRUE,"該当あり","")</f>
        <v/>
      </c>
      <c r="C24" s="198"/>
      <c r="D24" s="199"/>
      <c r="E24" s="199"/>
      <c r="F24" s="199"/>
      <c r="G24" s="199"/>
      <c r="H24" s="200"/>
      <c r="I24" s="16"/>
      <c r="J24" s="17"/>
      <c r="M24" s="11"/>
      <c r="N24" s="11"/>
      <c r="O24" s="11"/>
      <c r="P24" s="11"/>
      <c r="Q24" s="11"/>
      <c r="R24" s="11"/>
    </row>
    <row r="25" spans="2:19" s="10" customFormat="1" ht="23.1" customHeight="1" thickBot="1" x14ac:dyDescent="0.3">
      <c r="B25" s="36"/>
      <c r="C25" s="198"/>
      <c r="D25" s="199"/>
      <c r="E25" s="199"/>
      <c r="F25" s="199"/>
      <c r="G25" s="199"/>
      <c r="H25" s="200"/>
      <c r="I25" s="231"/>
      <c r="J25" s="231"/>
      <c r="M25" s="11"/>
      <c r="N25" s="11"/>
      <c r="O25" s="11"/>
      <c r="P25" s="11"/>
      <c r="Q25" s="11"/>
      <c r="R25" s="11"/>
    </row>
    <row r="26" spans="2:19" s="10" customFormat="1" ht="23.1" customHeight="1" thickBot="1" x14ac:dyDescent="0.3">
      <c r="B26" s="37"/>
      <c r="C26" s="198"/>
      <c r="D26" s="199"/>
      <c r="E26" s="199"/>
      <c r="F26" s="199"/>
      <c r="G26" s="199"/>
      <c r="H26" s="200"/>
      <c r="I26" s="14"/>
      <c r="J26" s="14"/>
      <c r="M26" s="11"/>
      <c r="N26" s="11"/>
      <c r="O26" s="11"/>
      <c r="P26" s="11"/>
      <c r="Q26" s="11"/>
      <c r="R26" s="11"/>
    </row>
    <row r="27" spans="2:19" s="10" customFormat="1" ht="23.1" customHeight="1" thickBot="1" x14ac:dyDescent="0.3">
      <c r="B27" s="37"/>
      <c r="C27" s="198"/>
      <c r="D27" s="199"/>
      <c r="E27" s="199"/>
      <c r="F27" s="199"/>
      <c r="G27" s="199"/>
      <c r="H27" s="200"/>
      <c r="I27" s="14"/>
      <c r="J27" s="14"/>
      <c r="M27" s="11"/>
      <c r="N27" s="11"/>
      <c r="O27" s="11"/>
      <c r="P27" s="11"/>
      <c r="Q27" s="11"/>
      <c r="R27" s="11"/>
    </row>
    <row r="28" spans="2:19" s="10" customFormat="1" ht="23.1" customHeight="1" thickBot="1" x14ac:dyDescent="0.3">
      <c r="B28" s="37"/>
      <c r="C28" s="198"/>
      <c r="D28" s="199"/>
      <c r="E28" s="199"/>
      <c r="F28" s="199"/>
      <c r="G28" s="199"/>
      <c r="H28" s="200"/>
      <c r="I28" s="14"/>
      <c r="J28" s="14"/>
      <c r="M28" s="11"/>
      <c r="N28" s="11"/>
      <c r="O28" s="11"/>
      <c r="P28" s="11"/>
      <c r="Q28" s="11"/>
      <c r="R28" s="11"/>
    </row>
    <row r="29" spans="2:19" s="10" customFormat="1" ht="23.1" customHeight="1" thickBot="1" x14ac:dyDescent="0.3">
      <c r="B29" s="38"/>
      <c r="C29" s="201"/>
      <c r="D29" s="202"/>
      <c r="E29" s="202"/>
      <c r="F29" s="202"/>
      <c r="G29" s="202"/>
      <c r="H29" s="203"/>
      <c r="I29" s="14"/>
      <c r="J29" s="14"/>
      <c r="M29" s="11"/>
      <c r="N29" s="11"/>
      <c r="O29" s="11"/>
      <c r="P29" s="11"/>
      <c r="Q29" s="11"/>
      <c r="R29" s="11"/>
    </row>
    <row r="30" spans="2:19" s="10" customFormat="1" ht="20.100000000000001" customHeight="1" thickBot="1" x14ac:dyDescent="0.3">
      <c r="B30" s="11"/>
      <c r="C30" s="11"/>
      <c r="D30" s="11"/>
      <c r="E30" s="11"/>
      <c r="F30" s="11"/>
      <c r="G30" s="11"/>
      <c r="H30" s="11"/>
      <c r="M30" s="11"/>
      <c r="N30" s="11"/>
      <c r="O30" s="11"/>
      <c r="P30" s="11"/>
      <c r="Q30" s="11"/>
      <c r="R30" s="11"/>
    </row>
    <row r="31" spans="2:19" s="10" customFormat="1" ht="27" customHeight="1" thickBot="1" x14ac:dyDescent="0.3">
      <c r="B31" s="13" t="s">
        <v>170</v>
      </c>
      <c r="C31" s="195"/>
      <c r="D31" s="196"/>
      <c r="E31" s="196"/>
      <c r="F31" s="196"/>
      <c r="G31" s="196"/>
      <c r="H31" s="197"/>
      <c r="I31" s="85" t="str">
        <f>IF(C31="","",LEN(C31)&amp;"/240　文字")</f>
        <v/>
      </c>
      <c r="M31" s="11"/>
      <c r="N31" s="11"/>
      <c r="O31" s="11"/>
      <c r="P31" s="11"/>
      <c r="Q31" s="11"/>
      <c r="R31" s="11"/>
    </row>
    <row r="32" spans="2:19" s="10" customFormat="1" ht="27" customHeight="1" thickBot="1" x14ac:dyDescent="0.3">
      <c r="B32" s="24" t="s">
        <v>182</v>
      </c>
      <c r="C32" s="198"/>
      <c r="D32" s="199"/>
      <c r="E32" s="199"/>
      <c r="F32" s="199"/>
      <c r="G32" s="199"/>
      <c r="H32" s="200"/>
      <c r="I32" s="14"/>
      <c r="M32" s="11"/>
      <c r="N32" s="11"/>
      <c r="O32" s="11"/>
      <c r="P32" s="11"/>
      <c r="Q32" s="11"/>
      <c r="R32" s="11"/>
    </row>
    <row r="33" spans="2:18" s="10" customFormat="1" ht="27" customHeight="1" thickBot="1" x14ac:dyDescent="0.3">
      <c r="B33" s="33" t="str">
        <f>IF(計算シート!B18=TRUE,"該当あり","")</f>
        <v/>
      </c>
      <c r="C33" s="198"/>
      <c r="D33" s="199"/>
      <c r="E33" s="199"/>
      <c r="F33" s="199"/>
      <c r="G33" s="199"/>
      <c r="H33" s="200"/>
      <c r="I33" s="16"/>
      <c r="J33" s="17"/>
      <c r="M33" s="11"/>
      <c r="N33" s="11"/>
      <c r="O33" s="11"/>
      <c r="P33" s="11"/>
      <c r="Q33" s="11"/>
      <c r="R33" s="11"/>
    </row>
    <row r="34" spans="2:18" s="10" customFormat="1" ht="23.1" customHeight="1" thickBot="1" x14ac:dyDescent="0.3">
      <c r="B34" s="36"/>
      <c r="C34" s="198"/>
      <c r="D34" s="199"/>
      <c r="E34" s="199"/>
      <c r="F34" s="199"/>
      <c r="G34" s="199"/>
      <c r="H34" s="200"/>
      <c r="I34" s="231"/>
      <c r="J34" s="231"/>
      <c r="M34" s="11"/>
      <c r="N34" s="11"/>
      <c r="O34" s="11"/>
      <c r="P34" s="11"/>
      <c r="Q34" s="11"/>
      <c r="R34" s="11"/>
    </row>
    <row r="35" spans="2:18" s="10" customFormat="1" ht="23.1" customHeight="1" thickBot="1" x14ac:dyDescent="0.3">
      <c r="B35" s="37"/>
      <c r="C35" s="198"/>
      <c r="D35" s="199"/>
      <c r="E35" s="199"/>
      <c r="F35" s="199"/>
      <c r="G35" s="199"/>
      <c r="H35" s="200"/>
      <c r="I35" s="11"/>
      <c r="J35" s="11"/>
      <c r="M35" s="11"/>
      <c r="N35" s="11"/>
      <c r="O35" s="11"/>
      <c r="P35" s="11"/>
      <c r="Q35" s="11"/>
      <c r="R35" s="11"/>
    </row>
    <row r="36" spans="2:18" s="10" customFormat="1" ht="23.1" customHeight="1" thickBot="1" x14ac:dyDescent="0.3">
      <c r="B36" s="37"/>
      <c r="C36" s="198"/>
      <c r="D36" s="199"/>
      <c r="E36" s="199"/>
      <c r="F36" s="199"/>
      <c r="G36" s="199"/>
      <c r="H36" s="200"/>
      <c r="I36" s="14"/>
      <c r="J36" s="14"/>
      <c r="M36" s="11"/>
      <c r="N36" s="11"/>
      <c r="O36" s="11"/>
      <c r="P36" s="11"/>
      <c r="Q36" s="11"/>
      <c r="R36" s="11"/>
    </row>
    <row r="37" spans="2:18" s="10" customFormat="1" ht="23.1" customHeight="1" thickBot="1" x14ac:dyDescent="0.3">
      <c r="B37" s="37"/>
      <c r="C37" s="198"/>
      <c r="D37" s="199"/>
      <c r="E37" s="199"/>
      <c r="F37" s="199"/>
      <c r="G37" s="199"/>
      <c r="H37" s="200"/>
      <c r="I37" s="14"/>
      <c r="J37" s="14"/>
      <c r="M37" s="11"/>
      <c r="N37" s="11"/>
      <c r="O37" s="11"/>
      <c r="P37" s="11"/>
      <c r="Q37" s="11"/>
      <c r="R37" s="11"/>
    </row>
    <row r="38" spans="2:18" s="10" customFormat="1" ht="23.1" customHeight="1" thickBot="1" x14ac:dyDescent="0.3">
      <c r="B38" s="38"/>
      <c r="C38" s="201"/>
      <c r="D38" s="202"/>
      <c r="E38" s="202"/>
      <c r="F38" s="202"/>
      <c r="G38" s="202"/>
      <c r="H38" s="203"/>
      <c r="I38" s="14"/>
      <c r="J38" s="14"/>
      <c r="M38" s="11"/>
      <c r="N38" s="11"/>
      <c r="O38" s="11"/>
      <c r="P38" s="11"/>
      <c r="Q38" s="11"/>
      <c r="R38" s="11"/>
    </row>
    <row r="39" spans="2:18" s="10" customFormat="1" ht="20.100000000000001" customHeight="1" thickBot="1" x14ac:dyDescent="0.3">
      <c r="B39" s="11"/>
      <c r="C39" s="11"/>
      <c r="D39" s="11"/>
      <c r="E39" s="11"/>
      <c r="F39" s="11"/>
      <c r="G39" s="11"/>
      <c r="H39" s="11"/>
      <c r="M39" s="11"/>
      <c r="N39" s="11"/>
      <c r="O39" s="11"/>
      <c r="P39" s="11"/>
      <c r="Q39" s="11"/>
      <c r="R39" s="11"/>
    </row>
    <row r="40" spans="2:18" s="10" customFormat="1" ht="27" customHeight="1" thickBot="1" x14ac:dyDescent="0.3">
      <c r="B40" s="13" t="s">
        <v>172</v>
      </c>
      <c r="C40" s="195"/>
      <c r="D40" s="196"/>
      <c r="E40" s="196"/>
      <c r="F40" s="196"/>
      <c r="G40" s="196"/>
      <c r="H40" s="197"/>
      <c r="I40" s="85" t="str">
        <f>IF(C40="","",LEN(C40)&amp;"/240　文字")</f>
        <v/>
      </c>
      <c r="M40" s="11"/>
      <c r="N40" s="11"/>
      <c r="O40" s="11"/>
      <c r="P40" s="11"/>
      <c r="Q40" s="11"/>
      <c r="R40" s="11"/>
    </row>
    <row r="41" spans="2:18" s="10" customFormat="1" ht="27" customHeight="1" thickBot="1" x14ac:dyDescent="0.3">
      <c r="B41" s="24" t="s">
        <v>183</v>
      </c>
      <c r="C41" s="198"/>
      <c r="D41" s="199"/>
      <c r="E41" s="199"/>
      <c r="F41" s="199"/>
      <c r="G41" s="199"/>
      <c r="H41" s="200"/>
      <c r="I41" s="14"/>
      <c r="M41" s="11"/>
      <c r="N41" s="11"/>
      <c r="O41" s="11"/>
      <c r="P41" s="11"/>
      <c r="Q41" s="11"/>
      <c r="R41" s="11"/>
    </row>
    <row r="42" spans="2:18" s="10" customFormat="1" ht="27" customHeight="1" thickBot="1" x14ac:dyDescent="0.3">
      <c r="B42" s="33" t="str">
        <f>IF(計算シート!B19=TRUE,"該当あり","")</f>
        <v/>
      </c>
      <c r="C42" s="198"/>
      <c r="D42" s="199"/>
      <c r="E42" s="199"/>
      <c r="F42" s="199"/>
      <c r="G42" s="199"/>
      <c r="H42" s="200"/>
      <c r="I42" s="16"/>
      <c r="J42" s="17"/>
      <c r="M42" s="11"/>
      <c r="N42" s="11"/>
      <c r="O42" s="11"/>
      <c r="P42" s="11"/>
      <c r="Q42" s="11"/>
      <c r="R42" s="11"/>
    </row>
    <row r="43" spans="2:18" s="10" customFormat="1" ht="23.1" customHeight="1" thickBot="1" x14ac:dyDescent="0.3">
      <c r="B43" s="36"/>
      <c r="C43" s="198"/>
      <c r="D43" s="199"/>
      <c r="E43" s="199"/>
      <c r="F43" s="199"/>
      <c r="G43" s="199"/>
      <c r="H43" s="200"/>
      <c r="I43" s="231"/>
      <c r="J43" s="231"/>
      <c r="M43" s="11"/>
      <c r="N43" s="11"/>
      <c r="O43" s="11"/>
      <c r="P43" s="11"/>
      <c r="Q43" s="11"/>
      <c r="R43" s="11"/>
    </row>
    <row r="44" spans="2:18" s="10" customFormat="1" ht="23.1" customHeight="1" thickBot="1" x14ac:dyDescent="0.3">
      <c r="B44" s="37"/>
      <c r="C44" s="198"/>
      <c r="D44" s="199"/>
      <c r="E44" s="199"/>
      <c r="F44" s="199"/>
      <c r="G44" s="199"/>
      <c r="H44" s="200"/>
      <c r="I44" s="14"/>
      <c r="J44" s="14"/>
      <c r="M44" s="11"/>
      <c r="N44" s="11"/>
      <c r="O44" s="11"/>
      <c r="P44" s="11"/>
      <c r="Q44" s="11"/>
      <c r="R44" s="11"/>
    </row>
    <row r="45" spans="2:18" s="10" customFormat="1" ht="23.1" customHeight="1" thickBot="1" x14ac:dyDescent="0.3">
      <c r="B45" s="37"/>
      <c r="C45" s="198"/>
      <c r="D45" s="199"/>
      <c r="E45" s="199"/>
      <c r="F45" s="199"/>
      <c r="G45" s="199"/>
      <c r="H45" s="200"/>
      <c r="I45" s="14"/>
      <c r="J45" s="14"/>
      <c r="M45" s="11"/>
      <c r="N45" s="11"/>
      <c r="O45" s="11"/>
      <c r="P45" s="11"/>
      <c r="Q45" s="11"/>
      <c r="R45" s="11"/>
    </row>
    <row r="46" spans="2:18" s="10" customFormat="1" ht="23.1" customHeight="1" thickBot="1" x14ac:dyDescent="0.3">
      <c r="B46" s="37"/>
      <c r="C46" s="198"/>
      <c r="D46" s="199"/>
      <c r="E46" s="199"/>
      <c r="F46" s="199"/>
      <c r="G46" s="199"/>
      <c r="H46" s="200"/>
      <c r="I46" s="14"/>
      <c r="J46" s="14"/>
      <c r="M46" s="11"/>
      <c r="N46" s="11"/>
      <c r="O46" s="11"/>
      <c r="P46" s="11"/>
      <c r="Q46" s="11"/>
      <c r="R46" s="11"/>
    </row>
    <row r="47" spans="2:18" s="10" customFormat="1" ht="23.1" customHeight="1" thickBot="1" x14ac:dyDescent="0.3">
      <c r="B47" s="38"/>
      <c r="C47" s="201"/>
      <c r="D47" s="202"/>
      <c r="E47" s="202"/>
      <c r="F47" s="202"/>
      <c r="G47" s="202"/>
      <c r="H47" s="203"/>
      <c r="I47" s="14"/>
      <c r="J47" s="14"/>
      <c r="M47" s="11"/>
      <c r="N47" s="11"/>
      <c r="O47" s="11"/>
      <c r="P47" s="11"/>
      <c r="Q47" s="11"/>
      <c r="R47" s="11"/>
    </row>
    <row r="48" spans="2:18" s="10" customFormat="1" ht="20.100000000000001" customHeight="1" thickBot="1" x14ac:dyDescent="0.3">
      <c r="B48" s="11"/>
      <c r="C48" s="11"/>
      <c r="D48" s="11"/>
      <c r="E48" s="11"/>
      <c r="F48" s="11"/>
      <c r="G48" s="11"/>
      <c r="H48" s="11"/>
      <c r="M48" s="11"/>
      <c r="N48" s="11"/>
      <c r="O48" s="11"/>
      <c r="P48" s="11"/>
      <c r="Q48" s="11"/>
      <c r="R48" s="11"/>
    </row>
    <row r="49" spans="2:18" s="10" customFormat="1" ht="27" customHeight="1" thickBot="1" x14ac:dyDescent="0.3">
      <c r="B49" s="13" t="s">
        <v>171</v>
      </c>
      <c r="C49" s="195"/>
      <c r="D49" s="196"/>
      <c r="E49" s="196"/>
      <c r="F49" s="196"/>
      <c r="G49" s="196"/>
      <c r="H49" s="197"/>
      <c r="I49" s="85" t="str">
        <f>IF(C49="","",LEN(C49)&amp;"/240　文字")</f>
        <v/>
      </c>
      <c r="M49" s="11"/>
      <c r="N49" s="11"/>
      <c r="O49" s="11"/>
      <c r="P49" s="11"/>
      <c r="Q49" s="11"/>
      <c r="R49" s="11"/>
    </row>
    <row r="50" spans="2:18" s="10" customFormat="1" ht="27" customHeight="1" thickBot="1" x14ac:dyDescent="0.3">
      <c r="B50" s="26" t="s">
        <v>184</v>
      </c>
      <c r="C50" s="198"/>
      <c r="D50" s="199"/>
      <c r="E50" s="199"/>
      <c r="F50" s="199"/>
      <c r="G50" s="199"/>
      <c r="H50" s="200"/>
      <c r="I50" s="14"/>
      <c r="M50" s="11"/>
      <c r="N50" s="11"/>
      <c r="O50" s="11"/>
      <c r="P50" s="11"/>
      <c r="Q50" s="11"/>
      <c r="R50" s="11"/>
    </row>
    <row r="51" spans="2:18" s="10" customFormat="1" ht="27" customHeight="1" thickBot="1" x14ac:dyDescent="0.3">
      <c r="B51" s="33" t="str">
        <f>IF(計算シート!B20=TRUE,"該当あり","")</f>
        <v/>
      </c>
      <c r="C51" s="198"/>
      <c r="D51" s="199"/>
      <c r="E51" s="199"/>
      <c r="F51" s="199"/>
      <c r="G51" s="199"/>
      <c r="H51" s="200"/>
      <c r="I51" s="16"/>
      <c r="J51" s="17"/>
      <c r="M51" s="11"/>
      <c r="N51" s="11"/>
      <c r="O51" s="11"/>
      <c r="P51" s="11"/>
      <c r="Q51" s="11"/>
      <c r="R51" s="11"/>
    </row>
    <row r="52" spans="2:18" s="10" customFormat="1" ht="23.1" customHeight="1" thickBot="1" x14ac:dyDescent="0.3">
      <c r="B52" s="36"/>
      <c r="C52" s="198"/>
      <c r="D52" s="199"/>
      <c r="E52" s="199"/>
      <c r="F52" s="199"/>
      <c r="G52" s="199"/>
      <c r="H52" s="200"/>
      <c r="I52" s="231"/>
      <c r="J52" s="231"/>
      <c r="M52" s="11"/>
      <c r="N52" s="11"/>
      <c r="O52" s="11"/>
      <c r="P52" s="11"/>
      <c r="Q52" s="11"/>
      <c r="R52" s="11"/>
    </row>
    <row r="53" spans="2:18" s="10" customFormat="1" ht="23.1" customHeight="1" thickBot="1" x14ac:dyDescent="0.3">
      <c r="B53" s="37"/>
      <c r="C53" s="198"/>
      <c r="D53" s="199"/>
      <c r="E53" s="199"/>
      <c r="F53" s="199"/>
      <c r="G53" s="199"/>
      <c r="H53" s="200"/>
      <c r="I53" s="14"/>
      <c r="J53" s="14"/>
      <c r="M53" s="11"/>
      <c r="N53" s="11"/>
      <c r="O53" s="11"/>
      <c r="P53" s="11"/>
      <c r="Q53" s="11"/>
      <c r="R53" s="11"/>
    </row>
    <row r="54" spans="2:18" s="10" customFormat="1" ht="23.1" customHeight="1" thickBot="1" x14ac:dyDescent="0.3">
      <c r="B54" s="37"/>
      <c r="C54" s="198"/>
      <c r="D54" s="199"/>
      <c r="E54" s="199"/>
      <c r="F54" s="199"/>
      <c r="G54" s="199"/>
      <c r="H54" s="200"/>
      <c r="I54" s="14"/>
      <c r="J54" s="14"/>
      <c r="M54" s="11"/>
      <c r="N54" s="11"/>
      <c r="O54" s="11"/>
      <c r="P54" s="11"/>
      <c r="Q54" s="11"/>
      <c r="R54" s="11"/>
    </row>
    <row r="55" spans="2:18" s="10" customFormat="1" ht="23.1" customHeight="1" thickBot="1" x14ac:dyDescent="0.3">
      <c r="B55" s="37"/>
      <c r="C55" s="198"/>
      <c r="D55" s="199"/>
      <c r="E55" s="199"/>
      <c r="F55" s="199"/>
      <c r="G55" s="199"/>
      <c r="H55" s="200"/>
      <c r="I55" s="14"/>
      <c r="J55" s="14"/>
      <c r="M55" s="11"/>
      <c r="N55" s="11"/>
      <c r="O55" s="11"/>
      <c r="P55" s="11"/>
      <c r="Q55" s="11"/>
      <c r="R55" s="11"/>
    </row>
    <row r="56" spans="2:18" s="10" customFormat="1" ht="23.1" customHeight="1" thickBot="1" x14ac:dyDescent="0.3">
      <c r="B56" s="38"/>
      <c r="C56" s="201"/>
      <c r="D56" s="202"/>
      <c r="E56" s="202"/>
      <c r="F56" s="202"/>
      <c r="G56" s="202"/>
      <c r="H56" s="203"/>
      <c r="I56" s="14"/>
      <c r="J56" s="14"/>
      <c r="M56" s="11"/>
      <c r="N56" s="11"/>
      <c r="O56" s="11"/>
      <c r="P56" s="11"/>
      <c r="Q56" s="11"/>
      <c r="R56" s="11"/>
    </row>
    <row r="57" spans="2:18" s="10" customFormat="1" ht="20.100000000000001" customHeight="1" thickBot="1" x14ac:dyDescent="0.3">
      <c r="B57" s="11"/>
      <c r="C57" s="11"/>
      <c r="D57" s="11"/>
      <c r="E57" s="11"/>
      <c r="F57" s="11"/>
      <c r="G57" s="11"/>
      <c r="H57" s="11"/>
      <c r="I57" s="17"/>
      <c r="J57" s="17"/>
      <c r="M57" s="11"/>
      <c r="N57" s="11"/>
      <c r="O57" s="11"/>
      <c r="P57" s="11"/>
      <c r="Q57" s="11"/>
      <c r="R57" s="11"/>
    </row>
    <row r="58" spans="2:18" s="10" customFormat="1" ht="27" customHeight="1" thickBot="1" x14ac:dyDescent="0.3">
      <c r="B58" s="13" t="s">
        <v>173</v>
      </c>
      <c r="C58" s="195"/>
      <c r="D58" s="196"/>
      <c r="E58" s="196"/>
      <c r="F58" s="196"/>
      <c r="G58" s="196"/>
      <c r="H58" s="197"/>
      <c r="I58" s="85" t="str">
        <f>IF(C58="","",LEN(C58)&amp;"/240　文字")</f>
        <v/>
      </c>
      <c r="M58" s="11"/>
      <c r="N58" s="11"/>
      <c r="O58" s="11"/>
      <c r="P58" s="11"/>
      <c r="Q58" s="11"/>
      <c r="R58" s="11"/>
    </row>
    <row r="59" spans="2:18" s="10" customFormat="1" ht="27" customHeight="1" thickBot="1" x14ac:dyDescent="0.3">
      <c r="B59" s="24" t="s">
        <v>185</v>
      </c>
      <c r="C59" s="198"/>
      <c r="D59" s="199"/>
      <c r="E59" s="199"/>
      <c r="F59" s="199"/>
      <c r="G59" s="199"/>
      <c r="H59" s="200"/>
      <c r="I59" s="14"/>
      <c r="M59" s="11"/>
      <c r="N59" s="11"/>
      <c r="O59" s="11"/>
      <c r="P59" s="11"/>
      <c r="Q59" s="11"/>
      <c r="R59" s="11"/>
    </row>
    <row r="60" spans="2:18" s="10" customFormat="1" ht="27" customHeight="1" thickBot="1" x14ac:dyDescent="0.3">
      <c r="B60" s="33" t="str">
        <f>IF(計算シート!B21=TRUE,"該当あり","")</f>
        <v/>
      </c>
      <c r="C60" s="198"/>
      <c r="D60" s="199"/>
      <c r="E60" s="199"/>
      <c r="F60" s="199"/>
      <c r="G60" s="199"/>
      <c r="H60" s="200"/>
      <c r="I60" s="16"/>
      <c r="J60" s="17"/>
      <c r="M60" s="11"/>
      <c r="N60" s="11"/>
      <c r="O60" s="11"/>
      <c r="P60" s="11"/>
      <c r="Q60" s="11"/>
      <c r="R60" s="11"/>
    </row>
    <row r="61" spans="2:18" s="10" customFormat="1" ht="23.1" customHeight="1" thickBot="1" x14ac:dyDescent="0.3">
      <c r="B61" s="36"/>
      <c r="C61" s="198"/>
      <c r="D61" s="199"/>
      <c r="E61" s="199"/>
      <c r="F61" s="199"/>
      <c r="G61" s="199"/>
      <c r="H61" s="200"/>
      <c r="I61" s="231"/>
      <c r="J61" s="231"/>
      <c r="M61" s="11"/>
      <c r="N61" s="11"/>
      <c r="O61" s="11"/>
      <c r="P61" s="11"/>
      <c r="Q61" s="11"/>
      <c r="R61" s="11"/>
    </row>
    <row r="62" spans="2:18" s="10" customFormat="1" ht="23.1" customHeight="1" thickBot="1" x14ac:dyDescent="0.3">
      <c r="B62" s="37"/>
      <c r="C62" s="198"/>
      <c r="D62" s="199"/>
      <c r="E62" s="199"/>
      <c r="F62" s="199"/>
      <c r="G62" s="199"/>
      <c r="H62" s="200"/>
      <c r="I62" s="11"/>
      <c r="J62" s="11"/>
      <c r="M62" s="11"/>
      <c r="N62" s="11"/>
      <c r="O62" s="11"/>
      <c r="P62" s="11"/>
      <c r="Q62" s="11"/>
      <c r="R62" s="11"/>
    </row>
    <row r="63" spans="2:18" s="10" customFormat="1" ht="23.1" customHeight="1" thickBot="1" x14ac:dyDescent="0.3">
      <c r="B63" s="37"/>
      <c r="C63" s="198"/>
      <c r="D63" s="199"/>
      <c r="E63" s="199"/>
      <c r="F63" s="199"/>
      <c r="G63" s="199"/>
      <c r="H63" s="200"/>
      <c r="I63" s="14"/>
      <c r="J63" s="14"/>
      <c r="M63" s="11"/>
      <c r="N63" s="11"/>
      <c r="O63" s="11"/>
      <c r="P63" s="11"/>
      <c r="Q63" s="11"/>
      <c r="R63" s="11"/>
    </row>
    <row r="64" spans="2:18" s="10" customFormat="1" ht="23.1" customHeight="1" thickBot="1" x14ac:dyDescent="0.3">
      <c r="B64" s="37"/>
      <c r="C64" s="198"/>
      <c r="D64" s="199"/>
      <c r="E64" s="199"/>
      <c r="F64" s="199"/>
      <c r="G64" s="199"/>
      <c r="H64" s="200"/>
      <c r="I64" s="14"/>
      <c r="J64" s="14"/>
      <c r="M64" s="11"/>
      <c r="N64" s="11"/>
      <c r="O64" s="11"/>
      <c r="P64" s="11"/>
      <c r="Q64" s="11"/>
      <c r="R64" s="11"/>
    </row>
    <row r="65" spans="2:18" s="10" customFormat="1" ht="23.1" customHeight="1" thickBot="1" x14ac:dyDescent="0.3">
      <c r="B65" s="38"/>
      <c r="C65" s="201"/>
      <c r="D65" s="202"/>
      <c r="E65" s="202"/>
      <c r="F65" s="202"/>
      <c r="G65" s="202"/>
      <c r="H65" s="203"/>
      <c r="I65" s="14"/>
      <c r="J65" s="14"/>
      <c r="M65" s="11"/>
      <c r="N65" s="11"/>
      <c r="O65" s="11"/>
      <c r="P65" s="11"/>
      <c r="Q65" s="11"/>
      <c r="R65" s="11"/>
    </row>
    <row r="66" spans="2:18" s="10" customFormat="1" ht="20.100000000000001" customHeight="1" thickBot="1" x14ac:dyDescent="0.3">
      <c r="B66" s="11"/>
      <c r="C66" s="11"/>
      <c r="D66" s="11"/>
      <c r="E66" s="11"/>
      <c r="F66" s="11"/>
      <c r="G66" s="11"/>
      <c r="H66" s="11"/>
      <c r="M66" s="11"/>
      <c r="N66" s="11"/>
      <c r="O66" s="11"/>
      <c r="P66" s="11"/>
      <c r="Q66" s="11"/>
      <c r="R66" s="11"/>
    </row>
    <row r="67" spans="2:18" s="10" customFormat="1" ht="27" customHeight="1" thickBot="1" x14ac:dyDescent="0.3">
      <c r="B67" s="13" t="s">
        <v>174</v>
      </c>
      <c r="C67" s="195"/>
      <c r="D67" s="196"/>
      <c r="E67" s="196"/>
      <c r="F67" s="196"/>
      <c r="G67" s="196"/>
      <c r="H67" s="197"/>
      <c r="I67" s="85" t="str">
        <f>IF(C67="","",LEN(C67)&amp;"/240　文字")</f>
        <v/>
      </c>
      <c r="M67" s="11"/>
      <c r="N67" s="11"/>
      <c r="O67" s="11"/>
      <c r="P67" s="11"/>
      <c r="Q67" s="11"/>
      <c r="R67" s="11"/>
    </row>
    <row r="68" spans="2:18" s="10" customFormat="1" ht="27" customHeight="1" thickBot="1" x14ac:dyDescent="0.3">
      <c r="B68" s="26" t="s">
        <v>186</v>
      </c>
      <c r="C68" s="198"/>
      <c r="D68" s="199"/>
      <c r="E68" s="199"/>
      <c r="F68" s="199"/>
      <c r="G68" s="199"/>
      <c r="H68" s="200"/>
      <c r="I68" s="14"/>
      <c r="M68" s="11"/>
      <c r="N68" s="11"/>
      <c r="O68" s="11"/>
      <c r="P68" s="11"/>
      <c r="Q68" s="11"/>
      <c r="R68" s="11"/>
    </row>
    <row r="69" spans="2:18" s="10" customFormat="1" ht="27" customHeight="1" thickBot="1" x14ac:dyDescent="0.3">
      <c r="B69" s="33" t="str">
        <f>IF(計算シート!B22=TRUE,"該当あり","")</f>
        <v/>
      </c>
      <c r="C69" s="198"/>
      <c r="D69" s="199"/>
      <c r="E69" s="199"/>
      <c r="F69" s="199"/>
      <c r="G69" s="199"/>
      <c r="H69" s="200"/>
      <c r="I69" s="16"/>
      <c r="J69" s="17"/>
      <c r="M69" s="11"/>
      <c r="N69" s="11"/>
      <c r="O69" s="11"/>
      <c r="P69" s="11"/>
      <c r="Q69" s="11"/>
      <c r="R69" s="11"/>
    </row>
    <row r="70" spans="2:18" s="10" customFormat="1" ht="23.1" customHeight="1" thickBot="1" x14ac:dyDescent="0.3">
      <c r="B70" s="36"/>
      <c r="C70" s="198"/>
      <c r="D70" s="199"/>
      <c r="E70" s="199"/>
      <c r="F70" s="199"/>
      <c r="G70" s="199"/>
      <c r="H70" s="200"/>
      <c r="I70" s="231"/>
      <c r="J70" s="231"/>
      <c r="M70" s="11"/>
      <c r="N70" s="11"/>
      <c r="O70" s="11"/>
      <c r="P70" s="11"/>
      <c r="Q70" s="11"/>
      <c r="R70" s="11"/>
    </row>
    <row r="71" spans="2:18" s="10" customFormat="1" ht="23.1" customHeight="1" thickBot="1" x14ac:dyDescent="0.3">
      <c r="B71" s="37"/>
      <c r="C71" s="198"/>
      <c r="D71" s="199"/>
      <c r="E71" s="199"/>
      <c r="F71" s="199"/>
      <c r="G71" s="199"/>
      <c r="H71" s="200"/>
      <c r="I71" s="14"/>
      <c r="J71" s="14"/>
      <c r="M71" s="11"/>
      <c r="N71" s="11"/>
      <c r="O71" s="11"/>
      <c r="P71" s="11"/>
      <c r="Q71" s="11"/>
      <c r="R71" s="11"/>
    </row>
    <row r="72" spans="2:18" s="10" customFormat="1" ht="23.1" customHeight="1" thickBot="1" x14ac:dyDescent="0.3">
      <c r="B72" s="37"/>
      <c r="C72" s="198"/>
      <c r="D72" s="199"/>
      <c r="E72" s="199"/>
      <c r="F72" s="199"/>
      <c r="G72" s="199"/>
      <c r="H72" s="200"/>
      <c r="I72" s="14"/>
      <c r="J72" s="14"/>
      <c r="M72" s="11"/>
      <c r="N72" s="11"/>
      <c r="O72" s="11"/>
      <c r="P72" s="11"/>
      <c r="Q72" s="11"/>
      <c r="R72" s="11"/>
    </row>
    <row r="73" spans="2:18" s="10" customFormat="1" ht="23.1" customHeight="1" thickBot="1" x14ac:dyDescent="0.3">
      <c r="B73" s="37"/>
      <c r="C73" s="198"/>
      <c r="D73" s="199"/>
      <c r="E73" s="199"/>
      <c r="F73" s="199"/>
      <c r="G73" s="199"/>
      <c r="H73" s="200"/>
      <c r="I73" s="14"/>
      <c r="J73" s="14"/>
      <c r="M73" s="11"/>
      <c r="N73" s="11"/>
      <c r="O73" s="11"/>
      <c r="P73" s="11"/>
      <c r="Q73" s="11"/>
      <c r="R73" s="11"/>
    </row>
    <row r="74" spans="2:18" s="10" customFormat="1" ht="23.1" customHeight="1" thickBot="1" x14ac:dyDescent="0.3">
      <c r="B74" s="38"/>
      <c r="C74" s="201"/>
      <c r="D74" s="202"/>
      <c r="E74" s="202"/>
      <c r="F74" s="202"/>
      <c r="G74" s="202"/>
      <c r="H74" s="203"/>
      <c r="I74" s="14"/>
      <c r="J74" s="14"/>
      <c r="M74" s="11"/>
      <c r="N74" s="11"/>
      <c r="O74" s="11"/>
      <c r="P74" s="11"/>
      <c r="Q74" s="11"/>
      <c r="R74" s="11"/>
    </row>
    <row r="75" spans="2:18" s="10" customFormat="1" ht="20.100000000000001" customHeight="1" thickBot="1" x14ac:dyDescent="0.3">
      <c r="B75" s="11"/>
      <c r="C75" s="11"/>
      <c r="D75" s="11"/>
      <c r="E75" s="11"/>
      <c r="F75" s="11"/>
      <c r="G75" s="11"/>
      <c r="H75" s="11"/>
      <c r="M75" s="11"/>
      <c r="N75" s="11"/>
      <c r="O75" s="11"/>
      <c r="P75" s="11"/>
      <c r="Q75" s="11"/>
      <c r="R75" s="11"/>
    </row>
    <row r="76" spans="2:18" s="10" customFormat="1" ht="27" customHeight="1" thickBot="1" x14ac:dyDescent="0.3">
      <c r="B76" s="13" t="s">
        <v>175</v>
      </c>
      <c r="C76" s="195"/>
      <c r="D76" s="196"/>
      <c r="E76" s="196"/>
      <c r="F76" s="196"/>
      <c r="G76" s="196"/>
      <c r="H76" s="197"/>
      <c r="I76" s="85" t="str">
        <f>IF(C76="","",LEN(C76)&amp;"/240　文字")</f>
        <v/>
      </c>
      <c r="M76" s="11"/>
      <c r="N76" s="11"/>
      <c r="O76" s="11"/>
      <c r="P76" s="11"/>
      <c r="Q76" s="11"/>
      <c r="R76" s="11"/>
    </row>
    <row r="77" spans="2:18" s="10" customFormat="1" ht="27" customHeight="1" thickBot="1" x14ac:dyDescent="0.3">
      <c r="B77" s="24" t="s">
        <v>187</v>
      </c>
      <c r="C77" s="198"/>
      <c r="D77" s="199"/>
      <c r="E77" s="199"/>
      <c r="F77" s="199"/>
      <c r="G77" s="199"/>
      <c r="H77" s="200"/>
      <c r="I77" s="14"/>
      <c r="M77" s="11"/>
      <c r="N77" s="11"/>
      <c r="O77" s="11"/>
      <c r="P77" s="11"/>
      <c r="Q77" s="11"/>
      <c r="R77" s="11"/>
    </row>
    <row r="78" spans="2:18" s="10" customFormat="1" ht="27" customHeight="1" thickBot="1" x14ac:dyDescent="0.3">
      <c r="B78" s="33" t="str">
        <f>IF(計算シート!B23=TRUE,"該当あり","")</f>
        <v/>
      </c>
      <c r="C78" s="198"/>
      <c r="D78" s="199"/>
      <c r="E78" s="199"/>
      <c r="F78" s="199"/>
      <c r="G78" s="199"/>
      <c r="H78" s="200"/>
      <c r="I78" s="16"/>
      <c r="J78" s="17"/>
      <c r="M78" s="11"/>
      <c r="N78" s="11"/>
      <c r="O78" s="11"/>
      <c r="P78" s="11"/>
      <c r="Q78" s="11"/>
      <c r="R78" s="11"/>
    </row>
    <row r="79" spans="2:18" s="10" customFormat="1" ht="23.1" customHeight="1" thickBot="1" x14ac:dyDescent="0.3">
      <c r="B79" s="36"/>
      <c r="C79" s="198"/>
      <c r="D79" s="199"/>
      <c r="E79" s="199"/>
      <c r="F79" s="199"/>
      <c r="G79" s="199"/>
      <c r="H79" s="200"/>
      <c r="I79" s="231"/>
      <c r="J79" s="231"/>
      <c r="M79" s="11"/>
      <c r="N79" s="11"/>
      <c r="O79" s="11"/>
      <c r="P79" s="11"/>
      <c r="Q79" s="11"/>
      <c r="R79" s="11"/>
    </row>
    <row r="80" spans="2:18" s="10" customFormat="1" ht="23.1" customHeight="1" thickBot="1" x14ac:dyDescent="0.3">
      <c r="B80" s="37"/>
      <c r="C80" s="198"/>
      <c r="D80" s="199"/>
      <c r="E80" s="199"/>
      <c r="F80" s="199"/>
      <c r="G80" s="199"/>
      <c r="H80" s="200"/>
      <c r="I80" s="11"/>
      <c r="J80" s="11"/>
      <c r="M80" s="11"/>
      <c r="N80" s="11"/>
      <c r="O80" s="11"/>
      <c r="P80" s="11"/>
      <c r="Q80" s="11"/>
      <c r="R80" s="11"/>
    </row>
    <row r="81" spans="2:18" s="10" customFormat="1" ht="23.1" customHeight="1" thickBot="1" x14ac:dyDescent="0.3">
      <c r="B81" s="37"/>
      <c r="C81" s="198"/>
      <c r="D81" s="199"/>
      <c r="E81" s="199"/>
      <c r="F81" s="199"/>
      <c r="G81" s="199"/>
      <c r="H81" s="200"/>
      <c r="I81" s="14"/>
      <c r="J81" s="14"/>
      <c r="M81" s="11"/>
      <c r="N81" s="11"/>
      <c r="O81" s="11"/>
      <c r="P81" s="11"/>
      <c r="Q81" s="11"/>
      <c r="R81" s="11"/>
    </row>
    <row r="82" spans="2:18" s="10" customFormat="1" ht="23.1" customHeight="1" thickBot="1" x14ac:dyDescent="0.3">
      <c r="B82" s="37"/>
      <c r="C82" s="198"/>
      <c r="D82" s="199"/>
      <c r="E82" s="199"/>
      <c r="F82" s="199"/>
      <c r="G82" s="199"/>
      <c r="H82" s="200"/>
      <c r="I82" s="14"/>
      <c r="J82" s="14"/>
      <c r="M82" s="11"/>
      <c r="N82" s="11"/>
      <c r="O82" s="11"/>
      <c r="P82" s="11"/>
      <c r="Q82" s="11"/>
      <c r="R82" s="11"/>
    </row>
    <row r="83" spans="2:18" s="10" customFormat="1" ht="23.1" customHeight="1" thickBot="1" x14ac:dyDescent="0.3">
      <c r="B83" s="38"/>
      <c r="C83" s="201"/>
      <c r="D83" s="202"/>
      <c r="E83" s="202"/>
      <c r="F83" s="202"/>
      <c r="G83" s="202"/>
      <c r="H83" s="203"/>
      <c r="I83" s="14"/>
      <c r="J83" s="14"/>
      <c r="M83" s="11"/>
      <c r="N83" s="11"/>
      <c r="O83" s="11"/>
      <c r="P83" s="11"/>
      <c r="Q83" s="11"/>
      <c r="R83" s="11"/>
    </row>
    <row r="84" spans="2:18" s="10" customFormat="1" ht="20.100000000000001" customHeight="1" thickBot="1" x14ac:dyDescent="0.3">
      <c r="B84" s="11"/>
      <c r="C84" s="11"/>
      <c r="D84" s="11"/>
      <c r="E84" s="11"/>
      <c r="F84" s="11"/>
      <c r="G84" s="11"/>
      <c r="H84" s="11"/>
      <c r="M84" s="11"/>
      <c r="N84" s="11"/>
      <c r="O84" s="11"/>
      <c r="P84" s="11"/>
      <c r="Q84" s="11"/>
      <c r="R84" s="11"/>
    </row>
    <row r="85" spans="2:18" s="10" customFormat="1" ht="27" customHeight="1" thickBot="1" x14ac:dyDescent="0.3">
      <c r="B85" s="13" t="s">
        <v>176</v>
      </c>
      <c r="C85" s="195"/>
      <c r="D85" s="196"/>
      <c r="E85" s="196"/>
      <c r="F85" s="196"/>
      <c r="G85" s="196"/>
      <c r="H85" s="197"/>
      <c r="I85" s="85" t="str">
        <f>IF(C85="","",LEN(C85)&amp;"/240　文字")</f>
        <v/>
      </c>
      <c r="M85" s="11"/>
      <c r="N85" s="11"/>
      <c r="O85" s="11"/>
      <c r="P85" s="11"/>
      <c r="Q85" s="11"/>
      <c r="R85" s="11"/>
    </row>
    <row r="86" spans="2:18" s="10" customFormat="1" ht="27" customHeight="1" thickBot="1" x14ac:dyDescent="0.3">
      <c r="B86" s="26" t="s">
        <v>188</v>
      </c>
      <c r="C86" s="198"/>
      <c r="D86" s="199"/>
      <c r="E86" s="199"/>
      <c r="F86" s="199"/>
      <c r="G86" s="199"/>
      <c r="H86" s="200"/>
      <c r="I86" s="14"/>
      <c r="M86" s="11"/>
      <c r="N86" s="11"/>
      <c r="O86" s="11"/>
      <c r="P86" s="11"/>
      <c r="Q86" s="11"/>
      <c r="R86" s="11"/>
    </row>
    <row r="87" spans="2:18" s="10" customFormat="1" ht="27" customHeight="1" thickBot="1" x14ac:dyDescent="0.3">
      <c r="B87" s="33" t="str">
        <f>IF(計算シート!B24=TRUE,"該当あり","")</f>
        <v/>
      </c>
      <c r="C87" s="198"/>
      <c r="D87" s="199"/>
      <c r="E87" s="199"/>
      <c r="F87" s="199"/>
      <c r="G87" s="199"/>
      <c r="H87" s="200"/>
      <c r="I87" s="16"/>
      <c r="J87" s="17"/>
      <c r="M87" s="11"/>
      <c r="N87" s="11"/>
      <c r="O87" s="11"/>
      <c r="P87" s="11"/>
      <c r="Q87" s="11"/>
      <c r="R87" s="11"/>
    </row>
    <row r="88" spans="2:18" s="10" customFormat="1" ht="23.1" customHeight="1" thickBot="1" x14ac:dyDescent="0.3">
      <c r="B88" s="36"/>
      <c r="C88" s="198"/>
      <c r="D88" s="199"/>
      <c r="E88" s="199"/>
      <c r="F88" s="199"/>
      <c r="G88" s="199"/>
      <c r="H88" s="200"/>
      <c r="I88" s="231"/>
      <c r="J88" s="231"/>
      <c r="M88" s="11"/>
      <c r="N88" s="11"/>
      <c r="O88" s="11"/>
      <c r="P88" s="11"/>
      <c r="Q88" s="11"/>
      <c r="R88" s="11"/>
    </row>
    <row r="89" spans="2:18" s="10" customFormat="1" ht="23.1" customHeight="1" thickBot="1" x14ac:dyDescent="0.3">
      <c r="B89" s="37"/>
      <c r="C89" s="198"/>
      <c r="D89" s="199"/>
      <c r="E89" s="199"/>
      <c r="F89" s="199"/>
      <c r="G89" s="199"/>
      <c r="H89" s="200"/>
      <c r="I89" s="14"/>
      <c r="J89" s="14"/>
      <c r="M89" s="11"/>
      <c r="N89" s="11"/>
      <c r="O89" s="11"/>
      <c r="P89" s="11"/>
      <c r="Q89" s="11"/>
      <c r="R89" s="11"/>
    </row>
    <row r="90" spans="2:18" s="10" customFormat="1" ht="23.1" customHeight="1" thickBot="1" x14ac:dyDescent="0.3">
      <c r="B90" s="37"/>
      <c r="C90" s="198"/>
      <c r="D90" s="199"/>
      <c r="E90" s="199"/>
      <c r="F90" s="199"/>
      <c r="G90" s="199"/>
      <c r="H90" s="200"/>
      <c r="I90" s="14"/>
      <c r="J90" s="14"/>
      <c r="M90" s="11"/>
      <c r="N90" s="11"/>
      <c r="O90" s="11"/>
      <c r="P90" s="11"/>
      <c r="Q90" s="11"/>
      <c r="R90" s="11"/>
    </row>
    <row r="91" spans="2:18" s="10" customFormat="1" ht="23.1" customHeight="1" thickBot="1" x14ac:dyDescent="0.3">
      <c r="B91" s="37"/>
      <c r="C91" s="198"/>
      <c r="D91" s="199"/>
      <c r="E91" s="199"/>
      <c r="F91" s="199"/>
      <c r="G91" s="199"/>
      <c r="H91" s="200"/>
      <c r="I91" s="14"/>
      <c r="J91" s="14"/>
      <c r="M91" s="11"/>
      <c r="N91" s="11"/>
      <c r="O91" s="11"/>
      <c r="P91" s="11"/>
      <c r="Q91" s="11"/>
      <c r="R91" s="11"/>
    </row>
    <row r="92" spans="2:18" s="10" customFormat="1" ht="23.1" customHeight="1" thickBot="1" x14ac:dyDescent="0.3">
      <c r="B92" s="38"/>
      <c r="C92" s="201"/>
      <c r="D92" s="202"/>
      <c r="E92" s="202"/>
      <c r="F92" s="202"/>
      <c r="G92" s="202"/>
      <c r="H92" s="203"/>
      <c r="I92" s="14"/>
      <c r="J92" s="14"/>
      <c r="M92" s="11"/>
      <c r="N92" s="11"/>
      <c r="O92" s="11"/>
      <c r="P92" s="11"/>
      <c r="Q92" s="11"/>
      <c r="R92" s="11"/>
    </row>
    <row r="93" spans="2:18" s="10" customFormat="1" ht="20.100000000000001" customHeight="1" thickBot="1" x14ac:dyDescent="0.3">
      <c r="B93" s="11"/>
      <c r="C93" s="11"/>
      <c r="D93" s="11"/>
      <c r="E93" s="11"/>
      <c r="F93" s="11"/>
      <c r="G93" s="11"/>
      <c r="H93" s="11"/>
      <c r="M93" s="11"/>
      <c r="N93" s="11"/>
      <c r="O93" s="11"/>
      <c r="P93" s="11"/>
      <c r="Q93" s="11"/>
      <c r="R93" s="11"/>
    </row>
    <row r="94" spans="2:18" s="10" customFormat="1" ht="27" customHeight="1" thickBot="1" x14ac:dyDescent="0.3">
      <c r="B94" s="13" t="s">
        <v>177</v>
      </c>
      <c r="C94" s="195"/>
      <c r="D94" s="196"/>
      <c r="E94" s="196"/>
      <c r="F94" s="196"/>
      <c r="G94" s="196"/>
      <c r="H94" s="197"/>
      <c r="I94" s="85" t="str">
        <f>IF(C94="","",LEN(C94)&amp;"/240　文字")</f>
        <v/>
      </c>
      <c r="M94" s="11"/>
      <c r="N94" s="11"/>
      <c r="O94" s="11"/>
      <c r="P94" s="11"/>
      <c r="Q94" s="11"/>
      <c r="R94" s="11"/>
    </row>
    <row r="95" spans="2:18" s="10" customFormat="1" ht="27" customHeight="1" thickBot="1" x14ac:dyDescent="0.3">
      <c r="B95" s="24" t="s">
        <v>189</v>
      </c>
      <c r="C95" s="198"/>
      <c r="D95" s="199"/>
      <c r="E95" s="199"/>
      <c r="F95" s="199"/>
      <c r="G95" s="199"/>
      <c r="H95" s="200"/>
      <c r="I95" s="14"/>
      <c r="M95" s="11"/>
      <c r="N95" s="11"/>
      <c r="O95" s="11"/>
      <c r="P95" s="11"/>
      <c r="Q95" s="11"/>
      <c r="R95" s="11"/>
    </row>
    <row r="96" spans="2:18" s="10" customFormat="1" ht="27" customHeight="1" thickBot="1" x14ac:dyDescent="0.3">
      <c r="B96" s="33" t="str">
        <f>IF(計算シート!B25=TRUE,"該当あり","")</f>
        <v/>
      </c>
      <c r="C96" s="198"/>
      <c r="D96" s="199"/>
      <c r="E96" s="199"/>
      <c r="F96" s="199"/>
      <c r="G96" s="199"/>
      <c r="H96" s="200"/>
      <c r="I96" s="16"/>
      <c r="J96" s="17"/>
      <c r="M96" s="11"/>
      <c r="N96" s="11"/>
      <c r="O96" s="11"/>
      <c r="P96" s="11"/>
      <c r="Q96" s="11"/>
      <c r="R96" s="11"/>
    </row>
    <row r="97" spans="2:18" s="10" customFormat="1" ht="23.1" customHeight="1" thickBot="1" x14ac:dyDescent="0.3">
      <c r="B97" s="36"/>
      <c r="C97" s="198"/>
      <c r="D97" s="199"/>
      <c r="E97" s="199"/>
      <c r="F97" s="199"/>
      <c r="G97" s="199"/>
      <c r="H97" s="200"/>
      <c r="I97" s="231"/>
      <c r="J97" s="231"/>
      <c r="M97" s="11"/>
      <c r="N97" s="11"/>
      <c r="O97" s="11"/>
      <c r="P97" s="11"/>
      <c r="Q97" s="11"/>
      <c r="R97" s="11"/>
    </row>
    <row r="98" spans="2:18" s="10" customFormat="1" ht="23.1" customHeight="1" thickBot="1" x14ac:dyDescent="0.3">
      <c r="B98" s="37"/>
      <c r="C98" s="198"/>
      <c r="D98" s="199"/>
      <c r="E98" s="199"/>
      <c r="F98" s="199"/>
      <c r="G98" s="199"/>
      <c r="H98" s="200"/>
      <c r="I98" s="14"/>
      <c r="J98" s="14"/>
      <c r="M98" s="11"/>
      <c r="N98" s="11"/>
      <c r="O98" s="11"/>
      <c r="P98" s="11"/>
      <c r="Q98" s="11"/>
      <c r="R98" s="11"/>
    </row>
    <row r="99" spans="2:18" s="10" customFormat="1" ht="23.1" customHeight="1" thickBot="1" x14ac:dyDescent="0.3">
      <c r="B99" s="37"/>
      <c r="C99" s="198"/>
      <c r="D99" s="199"/>
      <c r="E99" s="199"/>
      <c r="F99" s="199"/>
      <c r="G99" s="199"/>
      <c r="H99" s="200"/>
      <c r="I99" s="14"/>
      <c r="J99" s="14"/>
      <c r="M99" s="11"/>
      <c r="N99" s="11"/>
      <c r="O99" s="11"/>
      <c r="P99" s="11"/>
      <c r="Q99" s="11"/>
      <c r="R99" s="11"/>
    </row>
    <row r="100" spans="2:18" s="10" customFormat="1" ht="23.1" customHeight="1" thickBot="1" x14ac:dyDescent="0.3">
      <c r="B100" s="37"/>
      <c r="C100" s="198"/>
      <c r="D100" s="199"/>
      <c r="E100" s="199"/>
      <c r="F100" s="199"/>
      <c r="G100" s="199"/>
      <c r="H100" s="200"/>
      <c r="I100" s="14"/>
      <c r="J100" s="14"/>
      <c r="M100" s="11"/>
      <c r="N100" s="11"/>
      <c r="O100" s="11"/>
      <c r="P100" s="11"/>
      <c r="Q100" s="11"/>
      <c r="R100" s="11"/>
    </row>
    <row r="101" spans="2:18" s="10" customFormat="1" ht="23.1" customHeight="1" thickBot="1" x14ac:dyDescent="0.3">
      <c r="B101" s="38"/>
      <c r="C101" s="201"/>
      <c r="D101" s="202"/>
      <c r="E101" s="202"/>
      <c r="F101" s="202"/>
      <c r="G101" s="202"/>
      <c r="H101" s="203"/>
      <c r="I101" s="14"/>
      <c r="J101" s="14"/>
      <c r="M101" s="11"/>
      <c r="N101" s="11"/>
      <c r="O101" s="11"/>
      <c r="P101" s="11"/>
      <c r="Q101" s="11"/>
      <c r="R101" s="11"/>
    </row>
    <row r="102" spans="2:18" s="10" customFormat="1" ht="20.100000000000001" customHeight="1" thickBot="1" x14ac:dyDescent="0.3">
      <c r="B102" s="11"/>
      <c r="C102" s="11"/>
      <c r="D102" s="11"/>
      <c r="E102" s="11"/>
      <c r="F102" s="11"/>
      <c r="G102" s="11"/>
      <c r="H102" s="11"/>
      <c r="M102" s="11"/>
      <c r="N102" s="11"/>
      <c r="O102" s="11"/>
      <c r="P102" s="11"/>
      <c r="Q102" s="11"/>
      <c r="R102" s="11"/>
    </row>
    <row r="103" spans="2:18" s="10" customFormat="1" ht="27" customHeight="1" thickBot="1" x14ac:dyDescent="0.3">
      <c r="B103" s="13" t="s">
        <v>178</v>
      </c>
      <c r="C103" s="195"/>
      <c r="D103" s="196"/>
      <c r="E103" s="196"/>
      <c r="F103" s="196"/>
      <c r="G103" s="196"/>
      <c r="H103" s="197"/>
      <c r="I103" s="85" t="str">
        <f>IF(C103="","",LEN(C103)&amp;"/240　文字")</f>
        <v/>
      </c>
      <c r="M103" s="11"/>
      <c r="N103" s="11"/>
      <c r="O103" s="11"/>
      <c r="P103" s="11"/>
      <c r="Q103" s="11"/>
      <c r="R103" s="11"/>
    </row>
    <row r="104" spans="2:18" s="10" customFormat="1" ht="27" customHeight="1" thickBot="1" x14ac:dyDescent="0.3">
      <c r="B104" s="26" t="s">
        <v>190</v>
      </c>
      <c r="C104" s="198"/>
      <c r="D104" s="199"/>
      <c r="E104" s="199"/>
      <c r="F104" s="199"/>
      <c r="G104" s="199"/>
      <c r="H104" s="200"/>
      <c r="I104" s="14"/>
      <c r="M104" s="11"/>
      <c r="N104" s="11"/>
      <c r="O104" s="11"/>
      <c r="P104" s="11"/>
      <c r="Q104" s="11"/>
      <c r="R104" s="11"/>
    </row>
    <row r="105" spans="2:18" s="10" customFormat="1" ht="27" customHeight="1" thickBot="1" x14ac:dyDescent="0.3">
      <c r="B105" s="33" t="str">
        <f>IF(計算シート!B26=TRUE,"該当あり","")</f>
        <v/>
      </c>
      <c r="C105" s="198"/>
      <c r="D105" s="199"/>
      <c r="E105" s="199"/>
      <c r="F105" s="199"/>
      <c r="G105" s="199"/>
      <c r="H105" s="200"/>
      <c r="I105" s="16"/>
      <c r="J105" s="17"/>
      <c r="M105" s="11"/>
      <c r="N105" s="11"/>
      <c r="O105" s="11"/>
      <c r="P105" s="11"/>
      <c r="Q105" s="11"/>
      <c r="R105" s="11"/>
    </row>
    <row r="106" spans="2:18" s="10" customFormat="1" ht="23.1" customHeight="1" thickBot="1" x14ac:dyDescent="0.3">
      <c r="B106" s="36"/>
      <c r="C106" s="198"/>
      <c r="D106" s="199"/>
      <c r="E106" s="199"/>
      <c r="F106" s="199"/>
      <c r="G106" s="199"/>
      <c r="H106" s="200"/>
      <c r="I106" s="231"/>
      <c r="J106" s="231"/>
      <c r="M106" s="11"/>
      <c r="N106" s="11"/>
      <c r="O106" s="11"/>
      <c r="P106" s="11"/>
      <c r="Q106" s="11"/>
      <c r="R106" s="11"/>
    </row>
    <row r="107" spans="2:18" s="10" customFormat="1" ht="23.1" customHeight="1" thickBot="1" x14ac:dyDescent="0.3">
      <c r="B107" s="37"/>
      <c r="C107" s="198"/>
      <c r="D107" s="199"/>
      <c r="E107" s="199"/>
      <c r="F107" s="199"/>
      <c r="G107" s="199"/>
      <c r="H107" s="200"/>
      <c r="I107" s="14"/>
      <c r="J107" s="14"/>
      <c r="M107" s="11"/>
      <c r="N107" s="11"/>
      <c r="O107" s="11"/>
      <c r="P107" s="11"/>
      <c r="Q107" s="11"/>
      <c r="R107" s="11"/>
    </row>
    <row r="108" spans="2:18" s="10" customFormat="1" ht="23.1" customHeight="1" thickBot="1" x14ac:dyDescent="0.3">
      <c r="B108" s="37"/>
      <c r="C108" s="198"/>
      <c r="D108" s="199"/>
      <c r="E108" s="199"/>
      <c r="F108" s="199"/>
      <c r="G108" s="199"/>
      <c r="H108" s="200"/>
      <c r="I108" s="14"/>
      <c r="J108" s="14"/>
      <c r="M108" s="11"/>
      <c r="N108" s="11"/>
      <c r="O108" s="11"/>
      <c r="P108" s="11"/>
      <c r="Q108" s="11"/>
      <c r="R108" s="11"/>
    </row>
    <row r="109" spans="2:18" s="10" customFormat="1" ht="23.1" customHeight="1" thickBot="1" x14ac:dyDescent="0.3">
      <c r="B109" s="37"/>
      <c r="C109" s="198"/>
      <c r="D109" s="199"/>
      <c r="E109" s="199"/>
      <c r="F109" s="199"/>
      <c r="G109" s="199"/>
      <c r="H109" s="200"/>
      <c r="I109" s="14"/>
      <c r="J109" s="14"/>
      <c r="M109" s="11"/>
      <c r="N109" s="11"/>
      <c r="O109" s="11"/>
      <c r="P109" s="11"/>
      <c r="Q109" s="11"/>
      <c r="R109" s="11"/>
    </row>
    <row r="110" spans="2:18" s="10" customFormat="1" ht="23.1" customHeight="1" thickBot="1" x14ac:dyDescent="0.3">
      <c r="B110" s="38"/>
      <c r="C110" s="201"/>
      <c r="D110" s="202"/>
      <c r="E110" s="202"/>
      <c r="F110" s="202"/>
      <c r="G110" s="202"/>
      <c r="H110" s="203"/>
      <c r="I110" s="14"/>
      <c r="J110" s="14"/>
      <c r="M110" s="11"/>
      <c r="N110" s="11"/>
      <c r="O110" s="11"/>
      <c r="P110" s="11"/>
      <c r="Q110" s="11"/>
      <c r="R110" s="11"/>
    </row>
    <row r="112" spans="2:18"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sheetData>
  <sheetProtection selectLockedCells="1"/>
  <mergeCells count="36">
    <mergeCell ref="L7:L11"/>
    <mergeCell ref="L16:L20"/>
    <mergeCell ref="M1:R1"/>
    <mergeCell ref="M4:R11"/>
    <mergeCell ref="M13:R20"/>
    <mergeCell ref="M2:N3"/>
    <mergeCell ref="O2:P3"/>
    <mergeCell ref="Q2:R3"/>
    <mergeCell ref="C94:H101"/>
    <mergeCell ref="I97:J97"/>
    <mergeCell ref="C103:H110"/>
    <mergeCell ref="I106:J106"/>
    <mergeCell ref="C76:H83"/>
    <mergeCell ref="I79:J79"/>
    <mergeCell ref="C85:H92"/>
    <mergeCell ref="I88:J88"/>
    <mergeCell ref="C58:H65"/>
    <mergeCell ref="I61:J61"/>
    <mergeCell ref="C67:H74"/>
    <mergeCell ref="I70:J70"/>
    <mergeCell ref="C40:H47"/>
    <mergeCell ref="I43:J43"/>
    <mergeCell ref="C49:H56"/>
    <mergeCell ref="I52:J52"/>
    <mergeCell ref="C22:H29"/>
    <mergeCell ref="I25:J25"/>
    <mergeCell ref="C31:H38"/>
    <mergeCell ref="I34:J34"/>
    <mergeCell ref="C1:H1"/>
    <mergeCell ref="C4:H11"/>
    <mergeCell ref="I7:J7"/>
    <mergeCell ref="C13:H20"/>
    <mergeCell ref="I16:J16"/>
    <mergeCell ref="C2:D3"/>
    <mergeCell ref="E2:F3"/>
    <mergeCell ref="G2:H3"/>
  </mergeCells>
  <phoneticPr fontId="1"/>
  <conditionalFormatting sqref="C4:H11">
    <cfRule type="expression" dxfId="16" priority="18">
      <formula>AND($B$6="該当あり",$C$4="")</formula>
    </cfRule>
  </conditionalFormatting>
  <conditionalFormatting sqref="C13:H20">
    <cfRule type="expression" dxfId="15" priority="17">
      <formula>AND($B$15="該当あり",$C$13="")</formula>
    </cfRule>
  </conditionalFormatting>
  <conditionalFormatting sqref="C22:H29">
    <cfRule type="expression" dxfId="14" priority="16">
      <formula>AND($B$24="該当あり",$C$22="")</formula>
    </cfRule>
  </conditionalFormatting>
  <conditionalFormatting sqref="C31:H38">
    <cfRule type="expression" dxfId="13" priority="15">
      <formula>AND($B$33="該当あり",$C$31="")</formula>
    </cfRule>
  </conditionalFormatting>
  <conditionalFormatting sqref="C40:H47">
    <cfRule type="expression" dxfId="12" priority="12">
      <formula>AND($B$42="該当あり",$C$40="")</formula>
    </cfRule>
  </conditionalFormatting>
  <conditionalFormatting sqref="C49:H56">
    <cfRule type="expression" dxfId="11" priority="11">
      <formula>AND($B$51="該当あり",$C$49="")</formula>
    </cfRule>
  </conditionalFormatting>
  <conditionalFormatting sqref="C58:H65">
    <cfRule type="expression" dxfId="10" priority="10">
      <formula>AND($B$60="該当あり",$C$58="")</formula>
    </cfRule>
  </conditionalFormatting>
  <conditionalFormatting sqref="C67:H74">
    <cfRule type="expression" dxfId="9" priority="9">
      <formula>AND($B$69="該当あり",$C$67="")</formula>
    </cfRule>
  </conditionalFormatting>
  <conditionalFormatting sqref="C76:H83">
    <cfRule type="expression" dxfId="8" priority="8">
      <formula>AND($B$78="該当あり",$C$76="")</formula>
    </cfRule>
  </conditionalFormatting>
  <conditionalFormatting sqref="C85:H92">
    <cfRule type="expression" dxfId="7" priority="7">
      <formula>AND($B$87="該当あり",$C$85="")</formula>
    </cfRule>
  </conditionalFormatting>
  <conditionalFormatting sqref="C94:H101">
    <cfRule type="expression" dxfId="6" priority="6">
      <formula>AND($B$96="該当あり",$C$94="")</formula>
    </cfRule>
  </conditionalFormatting>
  <conditionalFormatting sqref="C103:H110">
    <cfRule type="expression" dxfId="5" priority="5">
      <formula>AND($B$105="該当あり",$C$103="")</formula>
    </cfRule>
  </conditionalFormatting>
  <conditionalFormatting sqref="L7:L11">
    <cfRule type="expression" dxfId="4" priority="4">
      <formula>$L$7=""</formula>
    </cfRule>
  </conditionalFormatting>
  <conditionalFormatting sqref="L16:L20">
    <cfRule type="expression" dxfId="3" priority="3">
      <formula>$L$16=""</formula>
    </cfRule>
  </conditionalFormatting>
  <conditionalFormatting sqref="M4:R11">
    <cfRule type="expression" dxfId="2" priority="2">
      <formula>$M$4=""</formula>
    </cfRule>
  </conditionalFormatting>
  <conditionalFormatting sqref="M13:R20">
    <cfRule type="expression" dxfId="1" priority="1">
      <formula>$M$13=""</formula>
    </cfRule>
  </conditionalFormatting>
  <dataValidations count="3">
    <dataValidation type="list" imeMode="halfAlpha" allowBlank="1" showInputMessage="1" showErrorMessage="1" sqref="L7:L11" xr:uid="{00000000-0002-0000-0600-000000000000}">
      <formula1>"自立,J1,J2,A1,A2,B1,B2,C1,C2"</formula1>
    </dataValidation>
    <dataValidation type="list" imeMode="halfAlpha" allowBlank="1" showInputMessage="1" showErrorMessage="1" sqref="L16:L20" xr:uid="{00000000-0002-0000-0600-000001000000}">
      <formula1>"自立,Ⅰ,Ⅱa,Ⅱb,Ⅲa,Ⅲb,Ⅳ,M"</formula1>
    </dataValidation>
    <dataValidation type="textLength" imeMode="hiragana" operator="lessThanOrEqual" allowBlank="1" showInputMessage="1" showErrorMessage="1" sqref="M13:R20 C4:H11 C13:H20 C22:H29 C31:H38 C40:H47 C49:H56 C58:H65 C67:H74 C76:H83 C85:H92 C94:H101 C103:H110 M4:R11" xr:uid="{00000000-0002-0000-0600-000002000000}">
      <formula1>240</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7" r:id="rId3" name="Check Box 5">
              <controlPr defaultSize="0" autoFill="0" autoLine="0" autoPict="0">
                <anchor moveWithCells="1">
                  <from>
                    <xdr:col>1</xdr:col>
                    <xdr:colOff>252413</xdr:colOff>
                    <xdr:row>7</xdr:row>
                    <xdr:rowOff>190500</xdr:rowOff>
                  </from>
                  <to>
                    <xdr:col>1</xdr:col>
                    <xdr:colOff>557213</xdr:colOff>
                    <xdr:row>9</xdr:row>
                    <xdr:rowOff>85725</xdr:rowOff>
                  </to>
                </anchor>
              </controlPr>
            </control>
          </mc:Choice>
        </mc:AlternateContent>
        <mc:AlternateContent xmlns:mc="http://schemas.openxmlformats.org/markup-compatibility/2006">
          <mc:Choice Requires="x14">
            <control shapeId="8198" r:id="rId4" name="Check Box 6">
              <controlPr defaultSize="0" autoFill="0" autoLine="0" autoPict="0">
                <anchor moveWithCells="1">
                  <from>
                    <xdr:col>1</xdr:col>
                    <xdr:colOff>252413</xdr:colOff>
                    <xdr:row>16</xdr:row>
                    <xdr:rowOff>180975</xdr:rowOff>
                  </from>
                  <to>
                    <xdr:col>1</xdr:col>
                    <xdr:colOff>557213</xdr:colOff>
                    <xdr:row>18</xdr:row>
                    <xdr:rowOff>76200</xdr:rowOff>
                  </to>
                </anchor>
              </controlPr>
            </control>
          </mc:Choice>
        </mc:AlternateContent>
        <mc:AlternateContent xmlns:mc="http://schemas.openxmlformats.org/markup-compatibility/2006">
          <mc:Choice Requires="x14">
            <control shapeId="8199" r:id="rId5" name="Check Box 7">
              <controlPr defaultSize="0" autoFill="0" autoLine="0" autoPict="0">
                <anchor moveWithCells="1">
                  <from>
                    <xdr:col>1</xdr:col>
                    <xdr:colOff>252413</xdr:colOff>
                    <xdr:row>25</xdr:row>
                    <xdr:rowOff>176213</xdr:rowOff>
                  </from>
                  <to>
                    <xdr:col>1</xdr:col>
                    <xdr:colOff>557213</xdr:colOff>
                    <xdr:row>27</xdr:row>
                    <xdr:rowOff>66675</xdr:rowOff>
                  </to>
                </anchor>
              </controlPr>
            </control>
          </mc:Choice>
        </mc:AlternateContent>
        <mc:AlternateContent xmlns:mc="http://schemas.openxmlformats.org/markup-compatibility/2006">
          <mc:Choice Requires="x14">
            <control shapeId="8200" r:id="rId6" name="Check Box 8">
              <controlPr defaultSize="0" autoFill="0" autoLine="0" autoPict="0">
                <anchor moveWithCells="1">
                  <from>
                    <xdr:col>1</xdr:col>
                    <xdr:colOff>252413</xdr:colOff>
                    <xdr:row>34</xdr:row>
                    <xdr:rowOff>176213</xdr:rowOff>
                  </from>
                  <to>
                    <xdr:col>1</xdr:col>
                    <xdr:colOff>557213</xdr:colOff>
                    <xdr:row>36</xdr:row>
                    <xdr:rowOff>61913</xdr:rowOff>
                  </to>
                </anchor>
              </controlPr>
            </control>
          </mc:Choice>
        </mc:AlternateContent>
        <mc:AlternateContent xmlns:mc="http://schemas.openxmlformats.org/markup-compatibility/2006">
          <mc:Choice Requires="x14">
            <control shapeId="8201" r:id="rId7" name="Check Box 9">
              <controlPr defaultSize="0" autoFill="0" autoLine="0" autoPict="0">
                <anchor moveWithCells="1">
                  <from>
                    <xdr:col>1</xdr:col>
                    <xdr:colOff>252413</xdr:colOff>
                    <xdr:row>43</xdr:row>
                    <xdr:rowOff>180975</xdr:rowOff>
                  </from>
                  <to>
                    <xdr:col>1</xdr:col>
                    <xdr:colOff>557213</xdr:colOff>
                    <xdr:row>45</xdr:row>
                    <xdr:rowOff>76200</xdr:rowOff>
                  </to>
                </anchor>
              </controlPr>
            </control>
          </mc:Choice>
        </mc:AlternateContent>
        <mc:AlternateContent xmlns:mc="http://schemas.openxmlformats.org/markup-compatibility/2006">
          <mc:Choice Requires="x14">
            <control shapeId="8202" r:id="rId8" name="Check Box 10">
              <controlPr defaultSize="0" autoFill="0" autoLine="0" autoPict="0">
                <anchor moveWithCells="1">
                  <from>
                    <xdr:col>1</xdr:col>
                    <xdr:colOff>252413</xdr:colOff>
                    <xdr:row>52</xdr:row>
                    <xdr:rowOff>176213</xdr:rowOff>
                  </from>
                  <to>
                    <xdr:col>1</xdr:col>
                    <xdr:colOff>557213</xdr:colOff>
                    <xdr:row>54</xdr:row>
                    <xdr:rowOff>61913</xdr:rowOff>
                  </to>
                </anchor>
              </controlPr>
            </control>
          </mc:Choice>
        </mc:AlternateContent>
        <mc:AlternateContent xmlns:mc="http://schemas.openxmlformats.org/markup-compatibility/2006">
          <mc:Choice Requires="x14">
            <control shapeId="8203" r:id="rId9" name="Check Box 11">
              <controlPr defaultSize="0" autoFill="0" autoLine="0" autoPict="0">
                <anchor moveWithCells="1">
                  <from>
                    <xdr:col>1</xdr:col>
                    <xdr:colOff>252413</xdr:colOff>
                    <xdr:row>61</xdr:row>
                    <xdr:rowOff>152400</xdr:rowOff>
                  </from>
                  <to>
                    <xdr:col>1</xdr:col>
                    <xdr:colOff>557213</xdr:colOff>
                    <xdr:row>63</xdr:row>
                    <xdr:rowOff>47625</xdr:rowOff>
                  </to>
                </anchor>
              </controlPr>
            </control>
          </mc:Choice>
        </mc:AlternateContent>
        <mc:AlternateContent xmlns:mc="http://schemas.openxmlformats.org/markup-compatibility/2006">
          <mc:Choice Requires="x14">
            <control shapeId="8204" r:id="rId10" name="Check Box 12">
              <controlPr defaultSize="0" autoFill="0" autoLine="0" autoPict="0">
                <anchor moveWithCells="1">
                  <from>
                    <xdr:col>1</xdr:col>
                    <xdr:colOff>252413</xdr:colOff>
                    <xdr:row>70</xdr:row>
                    <xdr:rowOff>176213</xdr:rowOff>
                  </from>
                  <to>
                    <xdr:col>1</xdr:col>
                    <xdr:colOff>557213</xdr:colOff>
                    <xdr:row>72</xdr:row>
                    <xdr:rowOff>66675</xdr:rowOff>
                  </to>
                </anchor>
              </controlPr>
            </control>
          </mc:Choice>
        </mc:AlternateContent>
        <mc:AlternateContent xmlns:mc="http://schemas.openxmlformats.org/markup-compatibility/2006">
          <mc:Choice Requires="x14">
            <control shapeId="8205" r:id="rId11" name="Check Box 13">
              <controlPr defaultSize="0" autoFill="0" autoLine="0" autoPict="0">
                <anchor moveWithCells="1">
                  <from>
                    <xdr:col>1</xdr:col>
                    <xdr:colOff>252413</xdr:colOff>
                    <xdr:row>79</xdr:row>
                    <xdr:rowOff>190500</xdr:rowOff>
                  </from>
                  <to>
                    <xdr:col>1</xdr:col>
                    <xdr:colOff>557213</xdr:colOff>
                    <xdr:row>81</xdr:row>
                    <xdr:rowOff>85725</xdr:rowOff>
                  </to>
                </anchor>
              </controlPr>
            </control>
          </mc:Choice>
        </mc:AlternateContent>
        <mc:AlternateContent xmlns:mc="http://schemas.openxmlformats.org/markup-compatibility/2006">
          <mc:Choice Requires="x14">
            <control shapeId="8206" r:id="rId12" name="Check Box 14">
              <controlPr defaultSize="0" autoFill="0" autoLine="0" autoPict="0">
                <anchor moveWithCells="1">
                  <from>
                    <xdr:col>1</xdr:col>
                    <xdr:colOff>252413</xdr:colOff>
                    <xdr:row>88</xdr:row>
                    <xdr:rowOff>190500</xdr:rowOff>
                  </from>
                  <to>
                    <xdr:col>1</xdr:col>
                    <xdr:colOff>557213</xdr:colOff>
                    <xdr:row>90</xdr:row>
                    <xdr:rowOff>85725</xdr:rowOff>
                  </to>
                </anchor>
              </controlPr>
            </control>
          </mc:Choice>
        </mc:AlternateContent>
        <mc:AlternateContent xmlns:mc="http://schemas.openxmlformats.org/markup-compatibility/2006">
          <mc:Choice Requires="x14">
            <control shapeId="8207" r:id="rId13" name="Check Box 15">
              <controlPr defaultSize="0" autoFill="0" autoLine="0" autoPict="0">
                <anchor moveWithCells="1">
                  <from>
                    <xdr:col>1</xdr:col>
                    <xdr:colOff>252413</xdr:colOff>
                    <xdr:row>97</xdr:row>
                    <xdr:rowOff>176213</xdr:rowOff>
                  </from>
                  <to>
                    <xdr:col>1</xdr:col>
                    <xdr:colOff>557213</xdr:colOff>
                    <xdr:row>99</xdr:row>
                    <xdr:rowOff>61913</xdr:rowOff>
                  </to>
                </anchor>
              </controlPr>
            </control>
          </mc:Choice>
        </mc:AlternateContent>
        <mc:AlternateContent xmlns:mc="http://schemas.openxmlformats.org/markup-compatibility/2006">
          <mc:Choice Requires="x14">
            <control shapeId="8208" r:id="rId14" name="Check Box 16">
              <controlPr defaultSize="0" autoFill="0" autoLine="0" autoPict="0">
                <anchor moveWithCells="1">
                  <from>
                    <xdr:col>1</xdr:col>
                    <xdr:colOff>252413</xdr:colOff>
                    <xdr:row>106</xdr:row>
                    <xdr:rowOff>190500</xdr:rowOff>
                  </from>
                  <to>
                    <xdr:col>1</xdr:col>
                    <xdr:colOff>557213</xdr:colOff>
                    <xdr:row>108</xdr:row>
                    <xdr:rowOff>85725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83"/>
  <sheetViews>
    <sheetView topLeftCell="C1" workbookViewId="0">
      <selection activeCell="Y4" sqref="Y4"/>
    </sheetView>
  </sheetViews>
  <sheetFormatPr defaultRowHeight="12.75" x14ac:dyDescent="0.25"/>
  <cols>
    <col min="1" max="1" width="9.86328125" bestFit="1" customWidth="1"/>
    <col min="2" max="2" width="11.6640625" bestFit="1" customWidth="1"/>
    <col min="6" max="6" width="23" bestFit="1" customWidth="1"/>
    <col min="7" max="7" width="26.33203125" bestFit="1" customWidth="1"/>
    <col min="8" max="12" width="4.6640625" customWidth="1"/>
  </cols>
  <sheetData>
    <row r="1" spans="1:26" ht="13.15" thickBot="1" x14ac:dyDescent="0.3">
      <c r="A1" s="35" t="s">
        <v>196</v>
      </c>
      <c r="B1" s="35" t="s">
        <v>197</v>
      </c>
      <c r="C1" s="35" t="s">
        <v>297</v>
      </c>
      <c r="D1" s="47"/>
      <c r="F1" s="70" t="s">
        <v>293</v>
      </c>
      <c r="G1" s="70" t="s">
        <v>294</v>
      </c>
      <c r="H1" s="239" t="s">
        <v>295</v>
      </c>
      <c r="I1" s="239"/>
      <c r="J1" s="239"/>
      <c r="K1" s="239"/>
      <c r="L1" s="239"/>
      <c r="M1" s="70" t="s">
        <v>296</v>
      </c>
      <c r="N1" s="148" t="s">
        <v>395</v>
      </c>
      <c r="O1" s="147" t="s">
        <v>394</v>
      </c>
      <c r="P1" s="256" t="s">
        <v>316</v>
      </c>
      <c r="Q1" s="29">
        <f>IF(LEN(基本情報!$B$2)&gt;=10,MID(基本情報!$B$2,LEN(基本情報!$B$2)-9,1),0)</f>
        <v>0</v>
      </c>
      <c r="R1" s="29">
        <f>IF(LEN(基本情報!$B$2)&gt;=9,MID(基本情報!$B$2,LEN(基本情報!$B$2)-8,1),0)</f>
        <v>0</v>
      </c>
      <c r="S1" s="29">
        <f>IF(LEN(基本情報!$B$2)&gt;=8,MID(基本情報!$B$2,LEN(基本情報!$B$2)-7,1),0)</f>
        <v>0</v>
      </c>
      <c r="T1" s="29">
        <f>IF(LEN(基本情報!$B$2)&gt;=7,MID(基本情報!$B$2,LEN(基本情報!$B$2)-6,1),0)</f>
        <v>0</v>
      </c>
      <c r="U1" s="29">
        <f>IF(LEN(基本情報!$B$2)&gt;=6,MID(基本情報!$B$2,LEN(基本情報!$B$2)-5,1),0)</f>
        <v>0</v>
      </c>
      <c r="V1" s="29">
        <f>IF(LEN(基本情報!$B$2)&gt;=5,MID(基本情報!$B$2,LEN(基本情報!$B$2)-4,1),0)</f>
        <v>0</v>
      </c>
      <c r="W1" s="29">
        <f>IF(LEN(基本情報!$B$2)&gt;=4,MID(基本情報!$B$2,LEN(基本情報!$B$2)-3,1),0)</f>
        <v>0</v>
      </c>
      <c r="X1" s="29">
        <f>IF(LEN(基本情報!$B$2)&gt;=3,MID(基本情報!$B$2,LEN(基本情報!$B$2)-2,1),0)</f>
        <v>0</v>
      </c>
      <c r="Y1" s="29">
        <f>IF(LEN(基本情報!$B$2)&gt;=2,MID(基本情報!$B$2,LEN(基本情報!$B$2)-1,1),0)</f>
        <v>0</v>
      </c>
      <c r="Z1" s="29">
        <f>IF(LEN(基本情報!$B$2)&gt;=1,MID(基本情報!$B$2,LEN(基本情報!$B$2),1),0)</f>
        <v>0</v>
      </c>
    </row>
    <row r="2" spans="1:26" x14ac:dyDescent="0.25">
      <c r="A2" s="35" t="s">
        <v>198</v>
      </c>
      <c r="B2" s="29" t="b">
        <v>0</v>
      </c>
      <c r="C2" s="29" t="str">
        <f>IF(B2=TRUE,"レ","")</f>
        <v/>
      </c>
      <c r="D2" s="47"/>
      <c r="E2">
        <f>IF(M2="",0,1)</f>
        <v>0</v>
      </c>
      <c r="F2" s="75" t="s">
        <v>337</v>
      </c>
      <c r="G2" s="71" t="s">
        <v>337</v>
      </c>
      <c r="H2" s="73"/>
      <c r="I2" s="63"/>
      <c r="J2" s="63"/>
      <c r="K2" s="63"/>
      <c r="L2" s="63"/>
      <c r="M2" s="81" t="str">
        <f>IF(基本情報!V3="","",CLEAN(基本情報!V3))</f>
        <v/>
      </c>
      <c r="N2" s="11"/>
      <c r="O2" s="93">
        <f>LEN(M2)</f>
        <v>0</v>
      </c>
      <c r="P2" s="257"/>
      <c r="Q2" s="254" t="str">
        <f>CONCATENATE(Q1,R1,S1)</f>
        <v>000</v>
      </c>
      <c r="R2" s="255"/>
      <c r="S2" s="254" t="str">
        <f>CONCATENATE(T1,U1,V1)</f>
        <v>000</v>
      </c>
      <c r="T2" s="255"/>
      <c r="U2" s="254" t="str">
        <f>CONCATENATE(W1,X1,Y1,Z1)</f>
        <v>0000</v>
      </c>
      <c r="V2" s="255"/>
      <c r="W2" s="47"/>
      <c r="X2" s="47"/>
    </row>
    <row r="3" spans="1:26" ht="13.15" thickBot="1" x14ac:dyDescent="0.3">
      <c r="A3" s="35" t="s">
        <v>199</v>
      </c>
      <c r="B3" s="29" t="b">
        <v>0</v>
      </c>
      <c r="C3" s="29" t="str">
        <f>IF(B3=TRUE,"レ","")</f>
        <v/>
      </c>
      <c r="D3" s="47"/>
      <c r="E3">
        <f>IF(M3="",0,MAX(E2)+1)</f>
        <v>0</v>
      </c>
      <c r="F3" s="76" t="s">
        <v>337</v>
      </c>
      <c r="G3" s="72" t="s">
        <v>337</v>
      </c>
      <c r="H3" s="74"/>
      <c r="I3" s="67"/>
      <c r="J3" s="67"/>
      <c r="K3" s="67"/>
      <c r="L3" s="67"/>
      <c r="M3" s="82" t="str">
        <f>IF(基本情報!V13="","",CLEAN(基本情報!V13))</f>
        <v/>
      </c>
      <c r="N3" s="11"/>
      <c r="O3" s="93">
        <f>LEN(M3)</f>
        <v>0</v>
      </c>
      <c r="P3" s="188" t="s">
        <v>437</v>
      </c>
      <c r="Q3" s="29" t="str">
        <f>IF(LEN(基本情報!$D$15)&gt;=8,MID(基本情報!$D$15,LEN(基本情報!$D$15)-7,1),0)</f>
        <v xml:space="preserve"> </v>
      </c>
      <c r="R3" s="29" t="str">
        <f>IF(LEN(基本情報!$D$15)&gt;=8,MID(基本情報!$D$15,LEN(基本情報!$D$15)-6,1),0)</f>
        <v xml:space="preserve"> </v>
      </c>
      <c r="S3" s="29" t="str">
        <f>IF(LEN(基本情報!$D$15)&gt;=8,MID(基本情報!$D$15,LEN(基本情報!$D$15)-5,1),0)</f>
        <v xml:space="preserve"> </v>
      </c>
      <c r="T3" s="29" t="str">
        <f>IF(LEN(基本情報!$D$15)&gt;=8,MID(基本情報!$D$15,LEN(基本情報!$D$15)-4,1),0)</f>
        <v xml:space="preserve"> </v>
      </c>
      <c r="U3" s="29" t="str">
        <f>IF(LEN(基本情報!$D$15)&gt;=8,MID(基本情報!$D$15,LEN(基本情報!$D$15)-3,1),0)</f>
        <v xml:space="preserve"> </v>
      </c>
      <c r="V3" s="29" t="str">
        <f>IF(LEN(基本情報!$D$15)&gt;=8,MID(基本情報!$D$15,LEN(基本情報!$D$15)-2,1),0)</f>
        <v xml:space="preserve"> </v>
      </c>
      <c r="W3" s="29" t="str">
        <f>IF(LEN(基本情報!$D$15)&gt;=8,MID(基本情報!$D$15,LEN(基本情報!$D$15)-1,1),0)</f>
        <v xml:space="preserve"> </v>
      </c>
      <c r="X3" s="29" t="str">
        <f>IF(LEN(基本情報!$D$15)&gt;=8,MID(基本情報!$D$15,LEN(基本情報!$D$15),1),0)</f>
        <v xml:space="preserve"> </v>
      </c>
      <c r="Y3" s="190" t="str">
        <f>CONCATENATE(Q3,R3,S3,T3)</f>
        <v xml:space="preserve">    </v>
      </c>
      <c r="Z3" s="190" t="str">
        <f>CONCATENATE(U3,V3,W3,X3)</f>
        <v xml:space="preserve">    </v>
      </c>
    </row>
    <row r="4" spans="1:26" x14ac:dyDescent="0.25">
      <c r="A4" s="35" t="s">
        <v>200</v>
      </c>
      <c r="B4" s="29" t="b">
        <v>0</v>
      </c>
      <c r="C4" s="29" t="str">
        <f>IF(B4=TRUE,"レ","")</f>
        <v/>
      </c>
      <c r="D4" s="47"/>
      <c r="E4">
        <f>IF(M4="",0,MAX($E$2:E3)+1)</f>
        <v>0</v>
      </c>
      <c r="F4" s="48" t="s">
        <v>286</v>
      </c>
      <c r="G4" s="49" t="s">
        <v>221</v>
      </c>
      <c r="H4" s="62">
        <f>COUNTIF(B2:B6,TRUE)</f>
        <v>0</v>
      </c>
      <c r="I4" s="63"/>
      <c r="J4" s="63"/>
      <c r="K4" s="63"/>
      <c r="L4" s="63"/>
      <c r="M4" s="59" t="str">
        <f>IF(第１群!C4="","",CLEAN(第１群!C4))</f>
        <v/>
      </c>
      <c r="N4" s="93">
        <f>IF(H4&gt;=1,1,0)</f>
        <v>0</v>
      </c>
      <c r="O4" s="93">
        <f>LEN(M4)</f>
        <v>0</v>
      </c>
      <c r="P4" s="35" t="s">
        <v>317</v>
      </c>
      <c r="Q4" s="29" t="str">
        <f>IF(基本情報!$L$3="老人福祉施設","レ","")</f>
        <v/>
      </c>
      <c r="R4" s="29" t="str">
        <f>IF(基本情報!$L$3="老人保健施設","レ","")</f>
        <v/>
      </c>
      <c r="S4" s="29" t="str">
        <f>IF(基本情報!$L$3="療養型医療施設","レ","")</f>
        <v/>
      </c>
      <c r="T4" s="29" t="str">
        <f>IF(基本情報!$L$3="グループホーム","レ","")</f>
        <v/>
      </c>
      <c r="U4" s="29" t="str">
        <f>IF(基本情報!$L$3="ケアハウス","レ","")</f>
        <v/>
      </c>
      <c r="V4" s="29" t="str">
        <f>IF(基本情報!$L$3="医療機関（療養）","レ","")</f>
        <v/>
      </c>
      <c r="W4" s="29" t="str">
        <f>IF(基本情報!$L$3="医療機関（療養以外）","レ","")</f>
        <v/>
      </c>
      <c r="X4" s="29" t="str">
        <f>IF(基本情報!$L$3="その他施設","レ","")</f>
        <v/>
      </c>
      <c r="Y4" s="189" t="str">
        <f>IF(基本情報!$L$3="介護医療院","レ","")</f>
        <v/>
      </c>
    </row>
    <row r="5" spans="1:26" ht="13.15" thickBot="1" x14ac:dyDescent="0.3">
      <c r="A5" s="35" t="s">
        <v>201</v>
      </c>
      <c r="B5" s="29" t="b">
        <v>0</v>
      </c>
      <c r="C5" s="29" t="str">
        <f>IF(B5=TRUE,"レ","")</f>
        <v/>
      </c>
      <c r="D5" s="47"/>
      <c r="E5">
        <f>IF(M5="",0,MAX($E$2:E4)+1)</f>
        <v>0</v>
      </c>
      <c r="F5" s="50" t="s">
        <v>286</v>
      </c>
      <c r="G5" s="45" t="s">
        <v>222</v>
      </c>
      <c r="H5" s="64">
        <f>COUNTIF(B9:B12,TRUE)</f>
        <v>0</v>
      </c>
      <c r="I5" s="65"/>
      <c r="J5" s="65"/>
      <c r="K5" s="65"/>
      <c r="L5" s="65"/>
      <c r="M5" s="60" t="str">
        <f>IF(第１群!C13="","",CLEAN(第１群!C13))</f>
        <v/>
      </c>
      <c r="N5" s="93">
        <f>IF(H5&gt;=1,1,0)</f>
        <v>0</v>
      </c>
      <c r="O5" s="93">
        <f t="shared" ref="O5:O68" si="0">LEN(M5)</f>
        <v>0</v>
      </c>
    </row>
    <row r="6" spans="1:26" ht="13.15" thickBot="1" x14ac:dyDescent="0.3">
      <c r="A6" s="35" t="s">
        <v>202</v>
      </c>
      <c r="B6" s="29" t="b">
        <v>0</v>
      </c>
      <c r="C6" s="29" t="str">
        <f>IF(B6=TRUE,"レ","")</f>
        <v/>
      </c>
      <c r="D6" s="47"/>
      <c r="E6">
        <f>IF(M6="",0,MAX($E$2:E5)+1)</f>
        <v>0</v>
      </c>
      <c r="F6" s="50" t="s">
        <v>286</v>
      </c>
      <c r="G6" s="45" t="s">
        <v>223</v>
      </c>
      <c r="H6" s="29" t="str">
        <f>IF(第１群!$B25=1,"レ","")</f>
        <v/>
      </c>
      <c r="I6" s="29" t="str">
        <f>IF(第１群!$B25=2,"レ","")</f>
        <v/>
      </c>
      <c r="J6" s="29" t="str">
        <f>IF(第１群!$B25=3,"レ","")</f>
        <v/>
      </c>
      <c r="K6" s="65"/>
      <c r="L6" s="65"/>
      <c r="M6" s="60" t="str">
        <f>IF(第１群!C22="","",CLEAN(第１群!C22))</f>
        <v/>
      </c>
      <c r="N6" s="93">
        <f>COUNTIF(I6:L6,"レ")</f>
        <v>0</v>
      </c>
      <c r="O6" s="93">
        <f t="shared" si="0"/>
        <v>0</v>
      </c>
      <c r="Q6" s="34">
        <f>Q1*4</f>
        <v>0</v>
      </c>
      <c r="R6" s="34">
        <f>R1*3</f>
        <v>0</v>
      </c>
      <c r="S6" s="34">
        <f>S1*2</f>
        <v>0</v>
      </c>
      <c r="T6" s="34">
        <f>T1*7</f>
        <v>0</v>
      </c>
      <c r="U6" s="34">
        <f>U1*6</f>
        <v>0</v>
      </c>
      <c r="V6" s="34">
        <f>V1*5</f>
        <v>0</v>
      </c>
      <c r="W6" s="34">
        <f>W1*4</f>
        <v>0</v>
      </c>
      <c r="X6" s="34">
        <f>X1*3</f>
        <v>0</v>
      </c>
      <c r="Y6" s="136">
        <f>Y1*2</f>
        <v>0</v>
      </c>
      <c r="Z6" s="117">
        <f>SUM(Q6:Y6)</f>
        <v>0</v>
      </c>
    </row>
    <row r="7" spans="1:26" x14ac:dyDescent="0.25">
      <c r="E7">
        <f>IF(M7="",0,MAX($E$2:E6)+1)</f>
        <v>0</v>
      </c>
      <c r="F7" s="50" t="s">
        <v>286</v>
      </c>
      <c r="G7" s="45" t="s">
        <v>224</v>
      </c>
      <c r="H7" s="29" t="str">
        <f>IF(第１群!$B34=1,"レ","")</f>
        <v/>
      </c>
      <c r="I7" s="29" t="str">
        <f>IF(第１群!$B34=2,"レ","")</f>
        <v/>
      </c>
      <c r="J7" s="29" t="str">
        <f>IF(第１群!$B34=3,"レ","")</f>
        <v/>
      </c>
      <c r="K7" s="65"/>
      <c r="L7" s="65"/>
      <c r="M7" s="60" t="str">
        <f>IF(第１群!C31="","",CLEAN(第１群!C31))</f>
        <v/>
      </c>
      <c r="N7" s="93">
        <f t="shared" ref="N7:N58" si="1">COUNTIF(I7:L7,"レ")</f>
        <v>0</v>
      </c>
      <c r="O7" s="93">
        <f t="shared" si="0"/>
        <v>0</v>
      </c>
      <c r="Y7" s="47" t="s">
        <v>411</v>
      </c>
      <c r="Z7">
        <f>MOD(Z6,11)</f>
        <v>0</v>
      </c>
    </row>
    <row r="8" spans="1:26" x14ac:dyDescent="0.25">
      <c r="A8" s="35" t="s">
        <v>196</v>
      </c>
      <c r="B8" s="35" t="s">
        <v>203</v>
      </c>
      <c r="C8" s="35" t="s">
        <v>297</v>
      </c>
      <c r="D8" s="47"/>
      <c r="E8">
        <f>IF(M8="",0,MAX($E$2:E7)+1)</f>
        <v>0</v>
      </c>
      <c r="F8" s="50" t="s">
        <v>286</v>
      </c>
      <c r="G8" s="45" t="s">
        <v>225</v>
      </c>
      <c r="H8" s="29" t="str">
        <f>IF(第１群!$B43=1,"レ","")</f>
        <v/>
      </c>
      <c r="I8" s="29" t="str">
        <f>IF(第１群!$B43=2,"レ","")</f>
        <v/>
      </c>
      <c r="J8" s="29" t="str">
        <f>IF(第１群!$B43=3,"レ","")</f>
        <v/>
      </c>
      <c r="K8" s="29" t="str">
        <f>IF(第１群!$B43=4,"レ","")</f>
        <v/>
      </c>
      <c r="L8" s="65"/>
      <c r="M8" s="60" t="str">
        <f>IF(第１群!C40="","",CLEAN(第１群!C40))</f>
        <v/>
      </c>
      <c r="N8" s="93">
        <f t="shared" si="1"/>
        <v>0</v>
      </c>
      <c r="O8" s="93">
        <f t="shared" si="0"/>
        <v>0</v>
      </c>
      <c r="Y8" s="47" t="s">
        <v>412</v>
      </c>
      <c r="Z8">
        <f>IF(Z7=0,1,IF(OR(Z7=1,Z7=10),0,11-Z7))</f>
        <v>1</v>
      </c>
    </row>
    <row r="9" spans="1:26" x14ac:dyDescent="0.25">
      <c r="A9" s="35" t="s">
        <v>204</v>
      </c>
      <c r="B9" s="29" t="b">
        <v>0</v>
      </c>
      <c r="C9" s="29" t="str">
        <f>IF(B9=TRUE,"レ","")</f>
        <v/>
      </c>
      <c r="D9" s="47"/>
      <c r="E9">
        <f>IF(M9="",0,MAX($E$2:E8)+1)</f>
        <v>0</v>
      </c>
      <c r="F9" s="50" t="s">
        <v>286</v>
      </c>
      <c r="G9" s="45" t="s">
        <v>388</v>
      </c>
      <c r="H9" s="29" t="str">
        <f>IF(第１群!$B52=1,"レ","")</f>
        <v/>
      </c>
      <c r="I9" s="29" t="str">
        <f>IF(第１群!$B52=2,"レ","")</f>
        <v/>
      </c>
      <c r="J9" s="29" t="str">
        <f>IF(第１群!$B52=3,"レ","")</f>
        <v/>
      </c>
      <c r="K9" s="65"/>
      <c r="L9" s="65"/>
      <c r="M9" s="60" t="str">
        <f>IF(第１群!C49="","",CLEAN(第１群!C49))</f>
        <v/>
      </c>
      <c r="N9" s="93">
        <f t="shared" si="1"/>
        <v>0</v>
      </c>
      <c r="O9" s="93">
        <f t="shared" si="0"/>
        <v>0</v>
      </c>
    </row>
    <row r="10" spans="1:26" x14ac:dyDescent="0.25">
      <c r="A10" s="35" t="s">
        <v>205</v>
      </c>
      <c r="B10" s="29" t="b">
        <v>0</v>
      </c>
      <c r="C10" s="29" t="str">
        <f>IF(B10=TRUE,"レ","")</f>
        <v/>
      </c>
      <c r="D10" s="47"/>
      <c r="E10">
        <f>IF(M10="",0,MAX($E$2:E9)+1)</f>
        <v>0</v>
      </c>
      <c r="F10" s="50" t="s">
        <v>286</v>
      </c>
      <c r="G10" s="45" t="s">
        <v>226</v>
      </c>
      <c r="H10" s="29" t="str">
        <f>IF(第１群!$B61=1,"レ","")</f>
        <v/>
      </c>
      <c r="I10" s="29" t="str">
        <f>IF(第１群!$B61=2,"レ","")</f>
        <v/>
      </c>
      <c r="J10" s="29" t="str">
        <f>IF(第１群!$B61=3,"レ","")</f>
        <v/>
      </c>
      <c r="K10" s="65"/>
      <c r="L10" s="65"/>
      <c r="M10" s="60" t="str">
        <f>IF(第１群!C58="","",CLEAN(第１群!C58))</f>
        <v/>
      </c>
      <c r="N10" s="93">
        <f t="shared" si="1"/>
        <v>0</v>
      </c>
      <c r="O10" s="93">
        <f t="shared" si="0"/>
        <v>0</v>
      </c>
    </row>
    <row r="11" spans="1:26" x14ac:dyDescent="0.25">
      <c r="A11" s="35" t="s">
        <v>206</v>
      </c>
      <c r="B11" s="29" t="b">
        <v>0</v>
      </c>
      <c r="C11" s="29" t="str">
        <f>IF(B11=TRUE,"レ","")</f>
        <v/>
      </c>
      <c r="D11" s="47"/>
      <c r="E11">
        <f>IF(M11="",0,MAX($E$2:E10)+1)</f>
        <v>0</v>
      </c>
      <c r="F11" s="50" t="s">
        <v>286</v>
      </c>
      <c r="G11" s="45" t="s">
        <v>227</v>
      </c>
      <c r="H11" s="29" t="str">
        <f>IF(第１群!$B70=1,"レ","")</f>
        <v/>
      </c>
      <c r="I11" s="29" t="str">
        <f>IF(第１群!$B70=2,"レ","")</f>
        <v/>
      </c>
      <c r="J11" s="29" t="str">
        <f>IF(第１群!$B70=3,"レ","")</f>
        <v/>
      </c>
      <c r="K11" s="65"/>
      <c r="L11" s="65"/>
      <c r="M11" s="60" t="str">
        <f>IF(第１群!C67="","",CLEAN(第１群!C67))</f>
        <v/>
      </c>
      <c r="N11" s="93">
        <f t="shared" si="1"/>
        <v>0</v>
      </c>
      <c r="O11" s="93">
        <f t="shared" si="0"/>
        <v>0</v>
      </c>
    </row>
    <row r="12" spans="1:26" x14ac:dyDescent="0.25">
      <c r="A12" s="35" t="s">
        <v>202</v>
      </c>
      <c r="B12" s="29" t="b">
        <v>0</v>
      </c>
      <c r="C12" s="29" t="str">
        <f>IF(B12=TRUE,"レ","")</f>
        <v/>
      </c>
      <c r="D12" s="47"/>
      <c r="E12">
        <f>IF(M12="",0,MAX($E$2:E11)+1)</f>
        <v>0</v>
      </c>
      <c r="F12" s="50" t="s">
        <v>286</v>
      </c>
      <c r="G12" s="45" t="s">
        <v>228</v>
      </c>
      <c r="H12" s="29" t="str">
        <f>IF(第１群!$B79=1,"レ","")</f>
        <v/>
      </c>
      <c r="I12" s="29" t="str">
        <f>IF(第１群!$B79=2,"レ","")</f>
        <v/>
      </c>
      <c r="J12" s="29" t="str">
        <f>IF(第１群!$B79=3,"レ","")</f>
        <v/>
      </c>
      <c r="K12" s="65"/>
      <c r="L12" s="65"/>
      <c r="M12" s="60" t="str">
        <f>IF(第１群!C76="","",CLEAN(第１群!C76))</f>
        <v/>
      </c>
      <c r="N12" s="93">
        <f t="shared" si="1"/>
        <v>0</v>
      </c>
      <c r="O12" s="93">
        <f t="shared" si="0"/>
        <v>0</v>
      </c>
    </row>
    <row r="13" spans="1:26" x14ac:dyDescent="0.25">
      <c r="E13">
        <f>IF(M13="",0,MAX($E$2:E12)+1)</f>
        <v>0</v>
      </c>
      <c r="F13" s="50" t="s">
        <v>286</v>
      </c>
      <c r="G13" s="45" t="s">
        <v>229</v>
      </c>
      <c r="H13" s="29" t="str">
        <f>IF(第１群!$B88=1,"レ","")</f>
        <v/>
      </c>
      <c r="I13" s="29" t="str">
        <f>IF(第１群!$B88=2,"レ","")</f>
        <v/>
      </c>
      <c r="J13" s="29" t="str">
        <f>IF(第１群!$B88=3,"レ","")</f>
        <v/>
      </c>
      <c r="K13" s="29" t="str">
        <f>IF(第１群!$B88=4,"レ","")</f>
        <v/>
      </c>
      <c r="L13" s="65"/>
      <c r="M13" s="60" t="str">
        <f>IF(第１群!C85="","",CLEAN(第１群!C85))</f>
        <v/>
      </c>
      <c r="N13" s="93">
        <f t="shared" si="1"/>
        <v>0</v>
      </c>
      <c r="O13" s="93">
        <f t="shared" si="0"/>
        <v>0</v>
      </c>
    </row>
    <row r="14" spans="1:26" x14ac:dyDescent="0.25">
      <c r="A14" s="240" t="s">
        <v>207</v>
      </c>
      <c r="B14" s="241"/>
      <c r="C14" s="35" t="s">
        <v>297</v>
      </c>
      <c r="D14" s="47"/>
      <c r="E14">
        <f>IF(M14="",0,MAX($E$2:E13)+1)</f>
        <v>0</v>
      </c>
      <c r="F14" s="50" t="s">
        <v>286</v>
      </c>
      <c r="G14" s="45" t="s">
        <v>230</v>
      </c>
      <c r="H14" s="29" t="str">
        <f>IF(第１群!$B97=1,"レ","")</f>
        <v/>
      </c>
      <c r="I14" s="29" t="str">
        <f>IF(第１群!$B97=2,"レ","")</f>
        <v/>
      </c>
      <c r="J14" s="29" t="str">
        <f>IF(第１群!$B97=3,"レ","")</f>
        <v/>
      </c>
      <c r="K14" s="47"/>
      <c r="L14" s="65"/>
      <c r="M14" s="60" t="str">
        <f>IF(第１群!C94="","",CLEAN(第１群!C94))</f>
        <v/>
      </c>
      <c r="N14" s="93">
        <f t="shared" si="1"/>
        <v>0</v>
      </c>
      <c r="O14" s="93">
        <f t="shared" si="0"/>
        <v>0</v>
      </c>
    </row>
    <row r="15" spans="1:26" x14ac:dyDescent="0.25">
      <c r="A15" s="35" t="s">
        <v>208</v>
      </c>
      <c r="B15" s="34" t="b">
        <v>0</v>
      </c>
      <c r="C15" s="29" t="str">
        <f>IF(B15=TRUE,"レ","")</f>
        <v/>
      </c>
      <c r="E15">
        <f>IF(M15="",0,MAX($E$2:E14)+1)</f>
        <v>0</v>
      </c>
      <c r="F15" s="50" t="s">
        <v>286</v>
      </c>
      <c r="G15" s="45" t="s">
        <v>231</v>
      </c>
      <c r="H15" s="29" t="str">
        <f>IF(第１群!$B106=1,"レ","")</f>
        <v/>
      </c>
      <c r="I15" s="29" t="str">
        <f>IF(第１群!$B106=2,"レ","")</f>
        <v/>
      </c>
      <c r="J15" s="29" t="str">
        <f>IF(第１群!$B106=3,"レ","")</f>
        <v/>
      </c>
      <c r="K15" s="29" t="str">
        <f>IF(第１群!$B106=4,"レ","")</f>
        <v/>
      </c>
      <c r="L15" s="29" t="str">
        <f>IF(第１群!$B106=5,"レ","")</f>
        <v/>
      </c>
      <c r="M15" s="60" t="str">
        <f>IF(第１群!C103="","",CLEAN(第１群!C103))</f>
        <v/>
      </c>
      <c r="N15" s="93">
        <f t="shared" si="1"/>
        <v>0</v>
      </c>
      <c r="O15" s="93">
        <f t="shared" si="0"/>
        <v>0</v>
      </c>
    </row>
    <row r="16" spans="1:26" ht="13.15" thickBot="1" x14ac:dyDescent="0.3">
      <c r="A16" s="35" t="s">
        <v>209</v>
      </c>
      <c r="B16" s="34" t="b">
        <v>0</v>
      </c>
      <c r="C16" s="29" t="str">
        <f t="shared" ref="C16:C26" si="2">IF(B16=TRUE,"レ","")</f>
        <v/>
      </c>
      <c r="E16">
        <f>IF(M16="",0,MAX($E$2:E15)+1)</f>
        <v>0</v>
      </c>
      <c r="F16" s="51" t="s">
        <v>286</v>
      </c>
      <c r="G16" s="52" t="s">
        <v>232</v>
      </c>
      <c r="H16" s="29" t="str">
        <f>IF(第１群!$B115=1,"レ","")</f>
        <v/>
      </c>
      <c r="I16" s="29" t="str">
        <f>IF(第１群!$B115=2,"レ","")</f>
        <v/>
      </c>
      <c r="J16" s="29" t="str">
        <f>IF(第１群!$B115=3,"レ","")</f>
        <v/>
      </c>
      <c r="K16" s="29" t="str">
        <f>IF(第１群!$B115=4,"レ","")</f>
        <v/>
      </c>
      <c r="L16" s="29" t="str">
        <f>IF(第１群!$B115=5,"レ","")</f>
        <v/>
      </c>
      <c r="M16" s="61" t="str">
        <f>IF(第１群!C112="","",CLEAN(第１群!C112))</f>
        <v/>
      </c>
      <c r="N16" s="93">
        <f t="shared" si="1"/>
        <v>0</v>
      </c>
      <c r="O16" s="93">
        <f t="shared" si="0"/>
        <v>0</v>
      </c>
    </row>
    <row r="17" spans="1:15" x14ac:dyDescent="0.25">
      <c r="A17" s="35" t="s">
        <v>181</v>
      </c>
      <c r="B17" s="34" t="b">
        <v>0</v>
      </c>
      <c r="C17" s="29" t="str">
        <f t="shared" si="2"/>
        <v/>
      </c>
      <c r="E17">
        <f>IF(M17="",0,MAX($E$2:E16)+1)</f>
        <v>0</v>
      </c>
      <c r="F17" s="48" t="s">
        <v>287</v>
      </c>
      <c r="G17" s="49" t="s">
        <v>233</v>
      </c>
      <c r="H17" s="62" t="str">
        <f>IF(第２群!$B7=1,"レ","")</f>
        <v/>
      </c>
      <c r="I17" s="62" t="str">
        <f>IF(第２群!$B7=2,"レ","")</f>
        <v/>
      </c>
      <c r="J17" s="62" t="str">
        <f>IF(第２群!$B7=3,"レ","")</f>
        <v/>
      </c>
      <c r="K17" s="62" t="str">
        <f>IF(第２群!$B7=4,"レ","")</f>
        <v/>
      </c>
      <c r="L17" s="63"/>
      <c r="M17" s="59" t="str">
        <f>IF(第２群!C4="","",CLEAN(第２群!C4))</f>
        <v/>
      </c>
      <c r="N17" s="93">
        <f t="shared" si="1"/>
        <v>0</v>
      </c>
      <c r="O17" s="93">
        <f t="shared" si="0"/>
        <v>0</v>
      </c>
    </row>
    <row r="18" spans="1:15" x14ac:dyDescent="0.25">
      <c r="A18" s="35" t="s">
        <v>210</v>
      </c>
      <c r="B18" s="34" t="b">
        <v>0</v>
      </c>
      <c r="C18" s="29" t="str">
        <f t="shared" si="2"/>
        <v/>
      </c>
      <c r="E18">
        <f>IF(M18="",0,MAX($E$2:E17)+1)</f>
        <v>0</v>
      </c>
      <c r="F18" s="50" t="s">
        <v>287</v>
      </c>
      <c r="G18" s="45" t="s">
        <v>234</v>
      </c>
      <c r="H18" s="29" t="str">
        <f>IF(第２群!$B16=1,"レ","")</f>
        <v/>
      </c>
      <c r="I18" s="29" t="str">
        <f>IF(第２群!$B16=2,"レ","")</f>
        <v/>
      </c>
      <c r="J18" s="29" t="str">
        <f>IF(第２群!$B16=3,"レ","")</f>
        <v/>
      </c>
      <c r="K18" s="29" t="str">
        <f>IF(第２群!$B16=4,"レ","")</f>
        <v/>
      </c>
      <c r="L18" s="65"/>
      <c r="M18" s="60" t="str">
        <f>IF(第２群!C13="","",CLEAN(第２群!C13))</f>
        <v/>
      </c>
      <c r="N18" s="93">
        <f t="shared" si="1"/>
        <v>0</v>
      </c>
      <c r="O18" s="93">
        <f t="shared" si="0"/>
        <v>0</v>
      </c>
    </row>
    <row r="19" spans="1:15" x14ac:dyDescent="0.25">
      <c r="A19" s="35" t="s">
        <v>183</v>
      </c>
      <c r="B19" s="34" t="b">
        <v>0</v>
      </c>
      <c r="C19" s="29" t="str">
        <f t="shared" si="2"/>
        <v/>
      </c>
      <c r="E19">
        <f>IF(M19="",0,MAX($E$2:E18)+1)</f>
        <v>0</v>
      </c>
      <c r="F19" s="50" t="s">
        <v>287</v>
      </c>
      <c r="G19" s="45" t="s">
        <v>235</v>
      </c>
      <c r="H19" s="29" t="str">
        <f>IF(第２群!$B25=1,"レ","")</f>
        <v/>
      </c>
      <c r="I19" s="29" t="str">
        <f>IF(第２群!$B25=2,"レ","")</f>
        <v/>
      </c>
      <c r="J19" s="29" t="str">
        <f>IF(第２群!$B25=3,"レ","")</f>
        <v/>
      </c>
      <c r="K19" s="47"/>
      <c r="L19" s="65"/>
      <c r="M19" s="60" t="str">
        <f>IF(第２群!C22="","",CLEAN(第２群!C22))</f>
        <v/>
      </c>
      <c r="N19" s="93">
        <f t="shared" si="1"/>
        <v>0</v>
      </c>
      <c r="O19" s="93">
        <f t="shared" si="0"/>
        <v>0</v>
      </c>
    </row>
    <row r="20" spans="1:15" x14ac:dyDescent="0.25">
      <c r="A20" s="35" t="s">
        <v>211</v>
      </c>
      <c r="B20" s="34" t="b">
        <v>0</v>
      </c>
      <c r="C20" s="29" t="str">
        <f t="shared" si="2"/>
        <v/>
      </c>
      <c r="E20">
        <f>IF(M20="",0,MAX($E$2:E19)+1)</f>
        <v>0</v>
      </c>
      <c r="F20" s="50" t="s">
        <v>287</v>
      </c>
      <c r="G20" s="45" t="s">
        <v>236</v>
      </c>
      <c r="H20" s="29" t="str">
        <f>IF(第２群!$B34=1,"レ","")</f>
        <v/>
      </c>
      <c r="I20" s="29" t="str">
        <f>IF(第２群!$B34=2,"レ","")</f>
        <v/>
      </c>
      <c r="J20" s="29" t="str">
        <f>IF(第２群!$B34=3,"レ","")</f>
        <v/>
      </c>
      <c r="K20" s="29" t="str">
        <f>IF(第２群!$B34=4,"レ","")</f>
        <v/>
      </c>
      <c r="L20" s="65"/>
      <c r="M20" s="60" t="str">
        <f>IF(第２群!C31="","",CLEAN(第２群!C31))</f>
        <v/>
      </c>
      <c r="N20" s="93">
        <f t="shared" si="1"/>
        <v>0</v>
      </c>
      <c r="O20" s="93">
        <f t="shared" si="0"/>
        <v>0</v>
      </c>
    </row>
    <row r="21" spans="1:15" x14ac:dyDescent="0.25">
      <c r="A21" s="35" t="s">
        <v>212</v>
      </c>
      <c r="B21" s="34" t="b">
        <v>0</v>
      </c>
      <c r="C21" s="29" t="str">
        <f t="shared" si="2"/>
        <v/>
      </c>
      <c r="E21">
        <f>IF(M21="",0,MAX($E$2:E20)+1)</f>
        <v>0</v>
      </c>
      <c r="F21" s="50" t="s">
        <v>287</v>
      </c>
      <c r="G21" s="45" t="s">
        <v>237</v>
      </c>
      <c r="H21" s="29" t="str">
        <f>IF(第２群!$B43=1,"レ","")</f>
        <v/>
      </c>
      <c r="I21" s="29" t="str">
        <f>IF(第２群!$B43=2,"レ","")</f>
        <v/>
      </c>
      <c r="J21" s="29" t="str">
        <f>IF(第２群!$B43=3,"レ","")</f>
        <v/>
      </c>
      <c r="K21" s="29" t="str">
        <f>IF(第２群!$B43=4,"レ","")</f>
        <v/>
      </c>
      <c r="L21" s="65"/>
      <c r="M21" s="60" t="str">
        <f>IF(第２群!C40="","",CLEAN(第２群!C40))</f>
        <v/>
      </c>
      <c r="N21" s="93">
        <f t="shared" si="1"/>
        <v>0</v>
      </c>
      <c r="O21" s="93">
        <f t="shared" si="0"/>
        <v>0</v>
      </c>
    </row>
    <row r="22" spans="1:15" x14ac:dyDescent="0.25">
      <c r="A22" s="35" t="s">
        <v>213</v>
      </c>
      <c r="B22" s="34" t="b">
        <v>0</v>
      </c>
      <c r="C22" s="29" t="str">
        <f t="shared" si="2"/>
        <v/>
      </c>
      <c r="E22">
        <f>IF(M22="",0,MAX($E$2:E21)+1)</f>
        <v>0</v>
      </c>
      <c r="F22" s="50" t="s">
        <v>287</v>
      </c>
      <c r="G22" s="45" t="s">
        <v>238</v>
      </c>
      <c r="H22" s="29" t="str">
        <f>IF(第２群!$B52=1,"レ","")</f>
        <v/>
      </c>
      <c r="I22" s="29" t="str">
        <f>IF(第２群!$B52=2,"レ","")</f>
        <v/>
      </c>
      <c r="J22" s="29" t="str">
        <f>IF(第２群!$B52=3,"レ","")</f>
        <v/>
      </c>
      <c r="K22" s="29" t="str">
        <f>IF(第２群!$B52=4,"レ","")</f>
        <v/>
      </c>
      <c r="L22" s="65"/>
      <c r="M22" s="60" t="str">
        <f>IF(第２群!C49="","",CLEAN(第２群!C49))</f>
        <v/>
      </c>
      <c r="N22" s="93">
        <f t="shared" si="1"/>
        <v>0</v>
      </c>
      <c r="O22" s="93">
        <f t="shared" si="0"/>
        <v>0</v>
      </c>
    </row>
    <row r="23" spans="1:15" x14ac:dyDescent="0.25">
      <c r="A23" s="35" t="s">
        <v>187</v>
      </c>
      <c r="B23" s="34" t="b">
        <v>0</v>
      </c>
      <c r="C23" s="29" t="str">
        <f t="shared" si="2"/>
        <v/>
      </c>
      <c r="E23">
        <f>IF(M23="",0,MAX($E$2:E22)+1)</f>
        <v>0</v>
      </c>
      <c r="F23" s="50" t="s">
        <v>287</v>
      </c>
      <c r="G23" s="45" t="s">
        <v>239</v>
      </c>
      <c r="H23" s="29" t="str">
        <f>IF(第２群!$B61=1,"レ","")</f>
        <v/>
      </c>
      <c r="I23" s="29" t="str">
        <f>IF(第２群!$B61=2,"レ","")</f>
        <v/>
      </c>
      <c r="J23" s="29" t="str">
        <f>IF(第２群!$B61=3,"レ","")</f>
        <v/>
      </c>
      <c r="K23" s="65"/>
      <c r="L23" s="65"/>
      <c r="M23" s="60" t="str">
        <f>IF(第２群!C58="","",CLEAN(第２群!C58))</f>
        <v/>
      </c>
      <c r="N23" s="93">
        <f t="shared" si="1"/>
        <v>0</v>
      </c>
      <c r="O23" s="93">
        <f t="shared" si="0"/>
        <v>0</v>
      </c>
    </row>
    <row r="24" spans="1:15" x14ac:dyDescent="0.25">
      <c r="A24" s="35" t="s">
        <v>214</v>
      </c>
      <c r="B24" s="34" t="b">
        <v>0</v>
      </c>
      <c r="C24" s="29" t="str">
        <f t="shared" si="2"/>
        <v/>
      </c>
      <c r="E24">
        <f>IF(M24="",0,MAX($E$2:E23)+1)</f>
        <v>0</v>
      </c>
      <c r="F24" s="50" t="s">
        <v>287</v>
      </c>
      <c r="G24" s="45" t="s">
        <v>240</v>
      </c>
      <c r="H24" s="29" t="str">
        <f>IF(第２群!$B70=1,"レ","")</f>
        <v/>
      </c>
      <c r="I24" s="29" t="str">
        <f>IF(第２群!$B70=2,"レ","")</f>
        <v/>
      </c>
      <c r="J24" s="29" t="str">
        <f>IF(第２群!$B70=3,"レ","")</f>
        <v/>
      </c>
      <c r="K24" s="65"/>
      <c r="L24" s="65"/>
      <c r="M24" s="60" t="str">
        <f>IF(第２群!C67="","",CLEAN(第２群!C67))</f>
        <v/>
      </c>
      <c r="N24" s="93">
        <f t="shared" si="1"/>
        <v>0</v>
      </c>
      <c r="O24" s="93">
        <f t="shared" si="0"/>
        <v>0</v>
      </c>
    </row>
    <row r="25" spans="1:15" x14ac:dyDescent="0.25">
      <c r="A25" s="35" t="s">
        <v>215</v>
      </c>
      <c r="B25" s="34" t="b">
        <v>0</v>
      </c>
      <c r="C25" s="29" t="str">
        <f t="shared" si="2"/>
        <v/>
      </c>
      <c r="E25">
        <f>IF(M25="",0,MAX($E$2:E24)+1)</f>
        <v>0</v>
      </c>
      <c r="F25" s="50" t="s">
        <v>287</v>
      </c>
      <c r="G25" s="45" t="s">
        <v>241</v>
      </c>
      <c r="H25" s="29" t="str">
        <f>IF(第２群!$B79=1,"レ","")</f>
        <v/>
      </c>
      <c r="I25" s="29" t="str">
        <f>IF(第２群!$B79=2,"レ","")</f>
        <v/>
      </c>
      <c r="J25" s="29" t="str">
        <f>IF(第２群!$B79=3,"レ","")</f>
        <v/>
      </c>
      <c r="K25" s="65"/>
      <c r="L25" s="65"/>
      <c r="M25" s="60" t="str">
        <f>IF(第２群!C76="","",CLEAN(第２群!C76))</f>
        <v/>
      </c>
      <c r="N25" s="93">
        <f t="shared" si="1"/>
        <v>0</v>
      </c>
      <c r="O25" s="93">
        <f t="shared" si="0"/>
        <v>0</v>
      </c>
    </row>
    <row r="26" spans="1:15" x14ac:dyDescent="0.25">
      <c r="A26" s="35" t="s">
        <v>190</v>
      </c>
      <c r="B26" s="34" t="b">
        <v>0</v>
      </c>
      <c r="C26" s="29" t="str">
        <f t="shared" si="2"/>
        <v/>
      </c>
      <c r="E26">
        <f>IF(M26="",0,MAX($E$2:E25)+1)</f>
        <v>0</v>
      </c>
      <c r="F26" s="50" t="s">
        <v>287</v>
      </c>
      <c r="G26" s="45" t="s">
        <v>242</v>
      </c>
      <c r="H26" s="29" t="str">
        <f>IF(第２群!$B88=1,"レ","")</f>
        <v/>
      </c>
      <c r="I26" s="29" t="str">
        <f>IF(第２群!$B88=2,"レ","")</f>
        <v/>
      </c>
      <c r="J26" s="29" t="str">
        <f>IF(第２群!$B88=3,"レ","")</f>
        <v/>
      </c>
      <c r="K26" s="29" t="str">
        <f>IF(第２群!$B88=4,"レ","")</f>
        <v/>
      </c>
      <c r="L26" s="65"/>
      <c r="M26" s="60" t="str">
        <f>IF(第２群!C85="","",CLEAN(第２群!C85))</f>
        <v/>
      </c>
      <c r="N26" s="93">
        <f t="shared" si="1"/>
        <v>0</v>
      </c>
      <c r="O26" s="93">
        <f t="shared" si="0"/>
        <v>0</v>
      </c>
    </row>
    <row r="27" spans="1:15" x14ac:dyDescent="0.25">
      <c r="E27">
        <f>IF(M27="",0,MAX($E$2:E26)+1)</f>
        <v>0</v>
      </c>
      <c r="F27" s="50" t="s">
        <v>287</v>
      </c>
      <c r="G27" s="45" t="s">
        <v>243</v>
      </c>
      <c r="H27" s="29" t="str">
        <f>IF(第２群!$B97=1,"レ","")</f>
        <v/>
      </c>
      <c r="I27" s="29" t="str">
        <f>IF(第２群!$B97=2,"レ","")</f>
        <v/>
      </c>
      <c r="J27" s="29" t="str">
        <f>IF(第２群!$B97=3,"レ","")</f>
        <v/>
      </c>
      <c r="K27" s="29" t="str">
        <f>IF(第２群!$B97=4,"レ","")</f>
        <v/>
      </c>
      <c r="L27" s="65"/>
      <c r="M27" s="60" t="str">
        <f>IF(第２群!C94="","",CLEAN(第２群!C94))</f>
        <v/>
      </c>
      <c r="N27" s="93">
        <f t="shared" si="1"/>
        <v>0</v>
      </c>
      <c r="O27" s="93">
        <f t="shared" si="0"/>
        <v>0</v>
      </c>
    </row>
    <row r="28" spans="1:15" ht="13.15" thickBot="1" x14ac:dyDescent="0.3">
      <c r="E28">
        <f>IF(M28="",0,MAX($E$2:E27)+1)</f>
        <v>0</v>
      </c>
      <c r="F28" s="51" t="s">
        <v>287</v>
      </c>
      <c r="G28" s="52" t="s">
        <v>244</v>
      </c>
      <c r="H28" s="29" t="str">
        <f>IF(第２群!$B106=1,"レ","")</f>
        <v/>
      </c>
      <c r="I28" s="29" t="str">
        <f>IF(第２群!$B106=2,"レ","")</f>
        <v/>
      </c>
      <c r="J28" s="29" t="str">
        <f>IF(第２群!$B106=3,"レ","")</f>
        <v/>
      </c>
      <c r="K28" s="66"/>
      <c r="L28" s="67"/>
      <c r="M28" s="61" t="str">
        <f>IF(第２群!C103="","",CLEAN(第２群!C103))</f>
        <v/>
      </c>
      <c r="N28" s="93">
        <f t="shared" si="1"/>
        <v>0</v>
      </c>
      <c r="O28" s="93">
        <f t="shared" si="0"/>
        <v>0</v>
      </c>
    </row>
    <row r="29" spans="1:15" x14ac:dyDescent="0.25">
      <c r="A29" s="240" t="s">
        <v>300</v>
      </c>
      <c r="B29" s="241"/>
      <c r="E29">
        <f>IF(M29="",0,MAX($E$2:E28)+1)</f>
        <v>0</v>
      </c>
      <c r="F29" s="48" t="s">
        <v>288</v>
      </c>
      <c r="G29" s="54" t="s">
        <v>245</v>
      </c>
      <c r="H29" s="62" t="str">
        <f>IF(第３群!$B7=1,"レ","")</f>
        <v/>
      </c>
      <c r="I29" s="62" t="str">
        <f>IF(第３群!$B7=2,"レ","")</f>
        <v/>
      </c>
      <c r="J29" s="62" t="str">
        <f>IF(第３群!$B7=3,"レ","")</f>
        <v/>
      </c>
      <c r="K29" s="62" t="str">
        <f>IF(第３群!$B7=4,"レ","")</f>
        <v/>
      </c>
      <c r="L29" s="63"/>
      <c r="M29" s="59" t="str">
        <f>IF(第３群!C4="","",CLEAN(第３群!C4))</f>
        <v/>
      </c>
      <c r="N29" s="93">
        <f t="shared" si="1"/>
        <v>0</v>
      </c>
      <c r="O29" s="93">
        <f t="shared" si="0"/>
        <v>0</v>
      </c>
    </row>
    <row r="30" spans="1:15" x14ac:dyDescent="0.25">
      <c r="A30" s="29">
        <v>1</v>
      </c>
      <c r="B30" s="29" t="s">
        <v>301</v>
      </c>
      <c r="E30">
        <f>IF(M30="",0,MAX($E$2:E29)+1)</f>
        <v>0</v>
      </c>
      <c r="F30" s="50" t="s">
        <v>288</v>
      </c>
      <c r="G30" s="46" t="s">
        <v>246</v>
      </c>
      <c r="H30" s="29" t="str">
        <f>IF(第３群!$B16=1,"レ","")</f>
        <v/>
      </c>
      <c r="I30" s="29" t="str">
        <f>IF(第３群!$B16=2,"レ","")</f>
        <v/>
      </c>
      <c r="J30" s="65"/>
      <c r="K30" s="65"/>
      <c r="L30" s="65"/>
      <c r="M30" s="60" t="str">
        <f>IF(第３群!C13="","",CLEAN(第３群!C13))</f>
        <v/>
      </c>
      <c r="N30" s="93">
        <f t="shared" si="1"/>
        <v>0</v>
      </c>
      <c r="O30" s="93">
        <f t="shared" si="0"/>
        <v>0</v>
      </c>
    </row>
    <row r="31" spans="1:15" x14ac:dyDescent="0.25">
      <c r="A31" s="29">
        <v>2</v>
      </c>
      <c r="B31" s="29" t="s">
        <v>302</v>
      </c>
      <c r="E31">
        <f>IF(M31="",0,MAX($E$2:E30)+1)</f>
        <v>0</v>
      </c>
      <c r="F31" s="50" t="s">
        <v>288</v>
      </c>
      <c r="G31" s="46" t="s">
        <v>389</v>
      </c>
      <c r="H31" s="29" t="str">
        <f>IF(第３群!$B25=1,"レ","")</f>
        <v/>
      </c>
      <c r="I31" s="29" t="str">
        <f>IF(第３群!$B25=2,"レ","")</f>
        <v/>
      </c>
      <c r="J31" s="65"/>
      <c r="K31" s="65"/>
      <c r="L31" s="65"/>
      <c r="M31" s="60" t="str">
        <f>IF(第３群!C22="","",CLEAN(第３群!C22))</f>
        <v/>
      </c>
      <c r="N31" s="93">
        <f t="shared" si="1"/>
        <v>0</v>
      </c>
      <c r="O31" s="93">
        <f t="shared" si="0"/>
        <v>0</v>
      </c>
    </row>
    <row r="32" spans="1:15" x14ac:dyDescent="0.25">
      <c r="E32">
        <f>IF(M32="",0,MAX($E$2:E31)+1)</f>
        <v>0</v>
      </c>
      <c r="F32" s="50" t="s">
        <v>288</v>
      </c>
      <c r="G32" s="46" t="s">
        <v>247</v>
      </c>
      <c r="H32" s="29" t="str">
        <f>IF(第３群!$B34=1,"レ","")</f>
        <v/>
      </c>
      <c r="I32" s="29" t="str">
        <f>IF(第３群!$B34=2,"レ","")</f>
        <v/>
      </c>
      <c r="J32" s="65"/>
      <c r="K32" s="65"/>
      <c r="L32" s="65"/>
      <c r="M32" s="60" t="str">
        <f>IF(第３群!C31="","",CLEAN(第３群!C31))</f>
        <v/>
      </c>
      <c r="N32" s="93">
        <f t="shared" si="1"/>
        <v>0</v>
      </c>
      <c r="O32" s="93">
        <f t="shared" si="0"/>
        <v>0</v>
      </c>
    </row>
    <row r="33" spans="1:15" x14ac:dyDescent="0.25">
      <c r="A33" s="251" t="s">
        <v>303</v>
      </c>
      <c r="B33" s="251"/>
      <c r="E33">
        <f>IF(M33="",0,MAX($E$2:E32)+1)</f>
        <v>0</v>
      </c>
      <c r="F33" s="50" t="s">
        <v>288</v>
      </c>
      <c r="G33" s="46" t="s">
        <v>248</v>
      </c>
      <c r="H33" s="29" t="str">
        <f>IF(第３群!$B43=1,"レ","")</f>
        <v/>
      </c>
      <c r="I33" s="29" t="str">
        <f>IF(第３群!$B43=2,"レ","")</f>
        <v/>
      </c>
      <c r="J33" s="65"/>
      <c r="K33" s="65"/>
      <c r="L33" s="65"/>
      <c r="M33" s="60" t="str">
        <f>IF(第３群!C40="","",CLEAN(第３群!C40))</f>
        <v/>
      </c>
      <c r="N33" s="93">
        <f t="shared" si="1"/>
        <v>0</v>
      </c>
      <c r="O33" s="93">
        <f t="shared" si="0"/>
        <v>0</v>
      </c>
    </row>
    <row r="34" spans="1:15" x14ac:dyDescent="0.25">
      <c r="A34" s="29">
        <v>1</v>
      </c>
      <c r="B34" s="29" t="s">
        <v>304</v>
      </c>
      <c r="E34">
        <f>IF(M34="",0,MAX($E$2:E33)+1)</f>
        <v>0</v>
      </c>
      <c r="F34" s="50" t="s">
        <v>288</v>
      </c>
      <c r="G34" s="46" t="s">
        <v>390</v>
      </c>
      <c r="H34" s="29" t="str">
        <f>IF(第３群!$B52=1,"レ","")</f>
        <v/>
      </c>
      <c r="I34" s="29" t="str">
        <f>IF(第３群!$B52=2,"レ","")</f>
        <v/>
      </c>
      <c r="J34" s="65"/>
      <c r="K34" s="65"/>
      <c r="L34" s="65"/>
      <c r="M34" s="60" t="str">
        <f>IF(第３群!C49="","",CLEAN(第３群!C49))</f>
        <v/>
      </c>
      <c r="N34" s="93">
        <f t="shared" si="1"/>
        <v>0</v>
      </c>
      <c r="O34" s="93">
        <f t="shared" si="0"/>
        <v>0</v>
      </c>
    </row>
    <row r="35" spans="1:15" x14ac:dyDescent="0.25">
      <c r="A35" s="29">
        <v>2</v>
      </c>
      <c r="B35" s="29" t="s">
        <v>305</v>
      </c>
      <c r="E35">
        <f>IF(M35="",0,MAX($E$2:E34)+1)</f>
        <v>0</v>
      </c>
      <c r="F35" s="50" t="s">
        <v>288</v>
      </c>
      <c r="G35" s="46" t="s">
        <v>249</v>
      </c>
      <c r="H35" s="64" t="str">
        <f>IF(第３群!$B61=1,"レ","")</f>
        <v/>
      </c>
      <c r="I35" s="64" t="str">
        <f>IF(第３群!$B61=2,"レ","")</f>
        <v/>
      </c>
      <c r="J35" s="65"/>
      <c r="K35" s="65"/>
      <c r="L35" s="65"/>
      <c r="M35" s="60" t="str">
        <f>IF(第３群!C58="","",CLEAN(第３群!C58))</f>
        <v/>
      </c>
      <c r="N35" s="93">
        <f t="shared" si="1"/>
        <v>0</v>
      </c>
      <c r="O35" s="93">
        <f t="shared" si="0"/>
        <v>0</v>
      </c>
    </row>
    <row r="36" spans="1:15" x14ac:dyDescent="0.25">
      <c r="A36" s="29">
        <v>3</v>
      </c>
      <c r="B36" s="29" t="s">
        <v>306</v>
      </c>
      <c r="E36">
        <f>IF(M36="",0,MAX($E$2:E35)+1)</f>
        <v>0</v>
      </c>
      <c r="F36" s="50" t="s">
        <v>288</v>
      </c>
      <c r="G36" s="46" t="s">
        <v>250</v>
      </c>
      <c r="H36" s="29" t="str">
        <f>IF(第３群!$B70=1,"レ","")</f>
        <v/>
      </c>
      <c r="I36" s="29" t="str">
        <f>IF(第３群!$B70=2,"レ","")</f>
        <v/>
      </c>
      <c r="J36" s="29" t="str">
        <f>IF(第３群!$B70=3,"レ","")</f>
        <v/>
      </c>
      <c r="K36" s="65"/>
      <c r="L36" s="65"/>
      <c r="M36" s="60" t="str">
        <f>IF(第３群!C67="","",CLEAN(第３群!C67))</f>
        <v/>
      </c>
      <c r="N36" s="93">
        <f t="shared" si="1"/>
        <v>0</v>
      </c>
      <c r="O36" s="93">
        <f t="shared" si="0"/>
        <v>0</v>
      </c>
    </row>
    <row r="37" spans="1:15" ht="13.15" thickBot="1" x14ac:dyDescent="0.3">
      <c r="A37" s="29">
        <v>4</v>
      </c>
      <c r="B37" s="29" t="s">
        <v>307</v>
      </c>
      <c r="E37">
        <f>IF(M37="",0,MAX($E$2:E36)+1)</f>
        <v>0</v>
      </c>
      <c r="F37" s="51" t="s">
        <v>288</v>
      </c>
      <c r="G37" s="55" t="s">
        <v>391</v>
      </c>
      <c r="H37" s="68" t="str">
        <f>IF(第３群!$B79=1,"レ","")</f>
        <v/>
      </c>
      <c r="I37" s="68" t="str">
        <f>IF(第３群!$B79=2,"レ","")</f>
        <v/>
      </c>
      <c r="J37" s="68" t="str">
        <f>IF(第３群!$B79=3,"レ","")</f>
        <v/>
      </c>
      <c r="K37" s="67"/>
      <c r="L37" s="67"/>
      <c r="M37" s="61" t="str">
        <f>IF(第３群!C76="","",CLEAN(第３群!C76))</f>
        <v/>
      </c>
      <c r="N37" s="93">
        <f t="shared" si="1"/>
        <v>0</v>
      </c>
      <c r="O37" s="93">
        <f t="shared" si="0"/>
        <v>0</v>
      </c>
    </row>
    <row r="38" spans="1:15" x14ac:dyDescent="0.25">
      <c r="A38" s="29">
        <v>5</v>
      </c>
      <c r="B38" s="29" t="s">
        <v>435</v>
      </c>
      <c r="E38">
        <f>IF(M38="",0,MAX($E$2:E37)+1)</f>
        <v>0</v>
      </c>
      <c r="F38" s="58" t="s">
        <v>289</v>
      </c>
      <c r="G38" s="53" t="s">
        <v>251</v>
      </c>
      <c r="H38" s="62" t="str">
        <f>IF('第４群 '!$B7=1,"レ","")</f>
        <v/>
      </c>
      <c r="I38" s="69" t="str">
        <f>IF('第４群 '!$B7=2,"レ","")</f>
        <v/>
      </c>
      <c r="J38" s="69" t="str">
        <f>IF('第４群 '!$B7=3,"レ","")</f>
        <v/>
      </c>
      <c r="K38" s="65"/>
      <c r="L38" s="65"/>
      <c r="M38" s="60" t="str">
        <f>IF('第４群 '!C4="","",CLEAN('第４群 '!C4))</f>
        <v/>
      </c>
      <c r="N38" s="93">
        <f t="shared" si="1"/>
        <v>0</v>
      </c>
      <c r="O38" s="93">
        <f t="shared" si="0"/>
        <v>0</v>
      </c>
    </row>
    <row r="39" spans="1:15" x14ac:dyDescent="0.25">
      <c r="E39">
        <f>IF(M39="",0,MAX($E$2:E38)+1)</f>
        <v>0</v>
      </c>
      <c r="F39" s="50" t="s">
        <v>289</v>
      </c>
      <c r="G39" s="46" t="s">
        <v>252</v>
      </c>
      <c r="H39" s="29" t="str">
        <f>IF('第４群 '!$B16=1,"レ","")</f>
        <v/>
      </c>
      <c r="I39" s="29" t="str">
        <f>IF('第４群 '!$B16=2,"レ","")</f>
        <v/>
      </c>
      <c r="J39" s="29" t="str">
        <f>IF('第４群 '!$B16=3,"レ","")</f>
        <v/>
      </c>
      <c r="K39" s="65"/>
      <c r="L39" s="65"/>
      <c r="M39" s="60" t="str">
        <f>IF('第４群 '!C13="","",CLEAN('第４群 '!C13))</f>
        <v/>
      </c>
      <c r="N39" s="93">
        <f t="shared" si="1"/>
        <v>0</v>
      </c>
      <c r="O39" s="93">
        <f t="shared" si="0"/>
        <v>0</v>
      </c>
    </row>
    <row r="40" spans="1:15" x14ac:dyDescent="0.25">
      <c r="A40" s="77" t="s">
        <v>308</v>
      </c>
      <c r="B40" s="78">
        <v>22</v>
      </c>
      <c r="C40" s="78">
        <v>20</v>
      </c>
      <c r="E40">
        <f>IF(M40="",0,MAX($E$2:E39)+1)</f>
        <v>0</v>
      </c>
      <c r="F40" s="50" t="s">
        <v>289</v>
      </c>
      <c r="G40" s="46" t="s">
        <v>253</v>
      </c>
      <c r="H40" s="29" t="str">
        <f>IF('第４群 '!$B25=1,"レ","")</f>
        <v/>
      </c>
      <c r="I40" s="29" t="str">
        <f>IF('第４群 '!$B25=2,"レ","")</f>
        <v/>
      </c>
      <c r="J40" s="29" t="str">
        <f>IF('第４群 '!$B25=3,"レ","")</f>
        <v/>
      </c>
      <c r="K40" s="65"/>
      <c r="L40" s="65"/>
      <c r="M40" s="60" t="str">
        <f>IF('第４群 '!C22="","",CLEAN('第４群 '!C22))</f>
        <v/>
      </c>
      <c r="N40" s="93">
        <f t="shared" si="1"/>
        <v>0</v>
      </c>
      <c r="O40" s="93">
        <f t="shared" si="0"/>
        <v>0</v>
      </c>
    </row>
    <row r="41" spans="1:15" x14ac:dyDescent="0.25">
      <c r="A41" s="77" t="s">
        <v>309</v>
      </c>
      <c r="B41" s="64" t="str">
        <f>IF(基本情報!$B$4=1,"レ","")</f>
        <v/>
      </c>
      <c r="C41" s="64" t="str">
        <f>IF(基本情報!$B$4=2,"レ","")</f>
        <v/>
      </c>
      <c r="E41">
        <f>IF(M41="",0,MAX($E$2:E40)+1)</f>
        <v>0</v>
      </c>
      <c r="F41" s="50" t="s">
        <v>289</v>
      </c>
      <c r="G41" s="46" t="s">
        <v>254</v>
      </c>
      <c r="H41" s="29" t="str">
        <f>IF('第４群 '!$B34=1,"レ","")</f>
        <v/>
      </c>
      <c r="I41" s="29" t="str">
        <f>IF('第４群 '!$B34=2,"レ","")</f>
        <v/>
      </c>
      <c r="J41" s="29" t="str">
        <f>IF('第４群 '!$B34=3,"レ","")</f>
        <v/>
      </c>
      <c r="K41" s="65"/>
      <c r="L41" s="65"/>
      <c r="M41" s="60" t="str">
        <f>IF('第４群 '!C31="","",CLEAN('第４群 '!C31))</f>
        <v/>
      </c>
      <c r="N41" s="93">
        <f t="shared" si="1"/>
        <v>0</v>
      </c>
      <c r="O41" s="93">
        <f t="shared" si="0"/>
        <v>0</v>
      </c>
    </row>
    <row r="42" spans="1:15" x14ac:dyDescent="0.25">
      <c r="A42" s="77" t="s">
        <v>310</v>
      </c>
      <c r="B42" s="29" t="str">
        <f>IF(基本情報!$B$5=1,"レ","")</f>
        <v/>
      </c>
      <c r="C42" s="29" t="str">
        <f>IF(基本情報!$B$5=2,"レ","")</f>
        <v/>
      </c>
      <c r="D42" s="29" t="str">
        <f>IF(基本情報!$B$5=3,"レ","")</f>
        <v/>
      </c>
      <c r="E42">
        <f>IF(M42="",0,MAX($E$2:E41)+1)</f>
        <v>0</v>
      </c>
      <c r="F42" s="50" t="s">
        <v>289</v>
      </c>
      <c r="G42" s="46" t="s">
        <v>255</v>
      </c>
      <c r="H42" s="29" t="str">
        <f>IF('第４群 '!$B43=1,"レ","")</f>
        <v/>
      </c>
      <c r="I42" s="29" t="str">
        <f>IF('第４群 '!$B43=2,"レ","")</f>
        <v/>
      </c>
      <c r="J42" s="29" t="str">
        <f>IF('第４群 '!$B43=3,"レ","")</f>
        <v/>
      </c>
      <c r="K42" s="65"/>
      <c r="L42" s="65"/>
      <c r="M42" s="60" t="str">
        <f>IF('第４群 '!C40="","",CLEAN('第４群 '!C40))</f>
        <v/>
      </c>
      <c r="N42" s="93">
        <f t="shared" si="1"/>
        <v>0</v>
      </c>
      <c r="O42" s="93">
        <f t="shared" si="0"/>
        <v>0</v>
      </c>
    </row>
    <row r="43" spans="1:15" x14ac:dyDescent="0.25">
      <c r="E43">
        <f>IF(M43="",0,MAX($E$2:E42)+1)</f>
        <v>0</v>
      </c>
      <c r="F43" s="50" t="s">
        <v>289</v>
      </c>
      <c r="G43" s="46" t="s">
        <v>256</v>
      </c>
      <c r="H43" s="29" t="str">
        <f>IF('第４群 '!$B52=1,"レ","")</f>
        <v/>
      </c>
      <c r="I43" s="29" t="str">
        <f>IF('第４群 '!$B52=2,"レ","")</f>
        <v/>
      </c>
      <c r="J43" s="29" t="str">
        <f>IF('第４群 '!$B52=3,"レ","")</f>
        <v/>
      </c>
      <c r="K43" s="65"/>
      <c r="L43" s="65"/>
      <c r="M43" s="60" t="str">
        <f>IF('第４群 '!C49="","",CLEAN('第４群 '!C49))</f>
        <v/>
      </c>
      <c r="N43" s="93">
        <f t="shared" si="1"/>
        <v>0</v>
      </c>
      <c r="O43" s="93">
        <f t="shared" si="0"/>
        <v>0</v>
      </c>
    </row>
    <row r="44" spans="1:15" x14ac:dyDescent="0.25">
      <c r="A44" s="251" t="s">
        <v>311</v>
      </c>
      <c r="B44" s="251"/>
      <c r="E44">
        <f>IF(M44="",0,MAX($E$2:E43)+1)</f>
        <v>0</v>
      </c>
      <c r="F44" s="50" t="s">
        <v>289</v>
      </c>
      <c r="G44" s="46" t="s">
        <v>257</v>
      </c>
      <c r="H44" s="29" t="str">
        <f>IF('第４群 '!$B61=1,"レ","")</f>
        <v/>
      </c>
      <c r="I44" s="29" t="str">
        <f>IF('第４群 '!$B61=2,"レ","")</f>
        <v/>
      </c>
      <c r="J44" s="29" t="str">
        <f>IF('第４群 '!$B61=3,"レ","")</f>
        <v/>
      </c>
      <c r="K44" s="65"/>
      <c r="L44" s="65"/>
      <c r="M44" s="60" t="str">
        <f>IF('第４群 '!C58="","",CLEAN('第４群 '!C58))</f>
        <v/>
      </c>
      <c r="N44" s="93">
        <f t="shared" si="1"/>
        <v>0</v>
      </c>
      <c r="O44" s="93">
        <f t="shared" si="0"/>
        <v>0</v>
      </c>
    </row>
    <row r="45" spans="1:15" x14ac:dyDescent="0.25">
      <c r="A45" s="29">
        <v>1</v>
      </c>
      <c r="B45" s="29" t="s">
        <v>312</v>
      </c>
      <c r="E45">
        <f>IF(M45="",0,MAX($E$2:E44)+1)</f>
        <v>0</v>
      </c>
      <c r="F45" s="50" t="s">
        <v>289</v>
      </c>
      <c r="G45" s="46" t="s">
        <v>258</v>
      </c>
      <c r="H45" s="29" t="str">
        <f>IF('第４群 '!$B70=1,"レ","")</f>
        <v/>
      </c>
      <c r="I45" s="29" t="str">
        <f>IF('第４群 '!$B70=2,"レ","")</f>
        <v/>
      </c>
      <c r="J45" s="29" t="str">
        <f>IF('第４群 '!$B70=3,"レ","")</f>
        <v/>
      </c>
      <c r="K45" s="65"/>
      <c r="L45" s="65"/>
      <c r="M45" s="60" t="str">
        <f>IF('第４群 '!C67="","",CLEAN('第４群 '!C67))</f>
        <v/>
      </c>
      <c r="N45" s="93">
        <f t="shared" si="1"/>
        <v>0</v>
      </c>
      <c r="O45" s="93">
        <f t="shared" si="0"/>
        <v>0</v>
      </c>
    </row>
    <row r="46" spans="1:15" x14ac:dyDescent="0.25">
      <c r="A46" s="29">
        <v>2</v>
      </c>
      <c r="B46" s="29" t="s">
        <v>313</v>
      </c>
      <c r="E46">
        <f>IF(M46="",0,MAX($E$2:E45)+1)</f>
        <v>0</v>
      </c>
      <c r="F46" s="50" t="s">
        <v>289</v>
      </c>
      <c r="G46" s="46" t="s">
        <v>259</v>
      </c>
      <c r="H46" s="29" t="str">
        <f>IF('第４群 '!$B79=1,"レ","")</f>
        <v/>
      </c>
      <c r="I46" s="29" t="str">
        <f>IF('第４群 '!$B79=2,"レ","")</f>
        <v/>
      </c>
      <c r="J46" s="29" t="str">
        <f>IF('第４群 '!$B79=3,"レ","")</f>
        <v/>
      </c>
      <c r="K46" s="65"/>
      <c r="L46" s="65"/>
      <c r="M46" s="60" t="str">
        <f>IF('第４群 '!C76="","",CLEAN('第４群 '!C76))</f>
        <v/>
      </c>
      <c r="N46" s="93">
        <f t="shared" si="1"/>
        <v>0</v>
      </c>
      <c r="O46" s="93">
        <f t="shared" si="0"/>
        <v>0</v>
      </c>
    </row>
    <row r="47" spans="1:15" x14ac:dyDescent="0.25">
      <c r="A47" s="29">
        <v>3</v>
      </c>
      <c r="B47" s="29" t="s">
        <v>314</v>
      </c>
      <c r="E47">
        <f>IF(M47="",0,MAX($E$2:E46)+1)</f>
        <v>0</v>
      </c>
      <c r="F47" s="50" t="s">
        <v>289</v>
      </c>
      <c r="G47" s="46" t="s">
        <v>260</v>
      </c>
      <c r="H47" s="29" t="str">
        <f>IF('第４群 '!$B88=1,"レ","")</f>
        <v/>
      </c>
      <c r="I47" s="29" t="str">
        <f>IF('第４群 '!$B88=2,"レ","")</f>
        <v/>
      </c>
      <c r="J47" s="29" t="str">
        <f>IF('第４群 '!$B88=3,"レ","")</f>
        <v/>
      </c>
      <c r="K47" s="65"/>
      <c r="L47" s="65"/>
      <c r="M47" s="60" t="str">
        <f>IF('第４群 '!C85="","",CLEAN('第４群 '!C85))</f>
        <v/>
      </c>
      <c r="N47" s="93">
        <f t="shared" si="1"/>
        <v>0</v>
      </c>
      <c r="O47" s="93">
        <f t="shared" si="0"/>
        <v>0</v>
      </c>
    </row>
    <row r="48" spans="1:15" x14ac:dyDescent="0.25">
      <c r="E48">
        <f>IF(M48="",0,MAX($E$2:E47)+1)</f>
        <v>0</v>
      </c>
      <c r="F48" s="50" t="s">
        <v>289</v>
      </c>
      <c r="G48" s="46" t="s">
        <v>261</v>
      </c>
      <c r="H48" s="29" t="str">
        <f>IF('第４群 '!$B97=1,"レ","")</f>
        <v/>
      </c>
      <c r="I48" s="29" t="str">
        <f>IF('第４群 '!$B97=2,"レ","")</f>
        <v/>
      </c>
      <c r="J48" s="29" t="str">
        <f>IF('第４群 '!$B97=3,"レ","")</f>
        <v/>
      </c>
      <c r="K48" s="65"/>
      <c r="L48" s="65"/>
      <c r="M48" s="60" t="str">
        <f>IF('第４群 '!C94="","",CLEAN('第４群 '!C94))</f>
        <v/>
      </c>
      <c r="N48" s="93">
        <f t="shared" si="1"/>
        <v>0</v>
      </c>
      <c r="O48" s="93">
        <f t="shared" si="0"/>
        <v>0</v>
      </c>
    </row>
    <row r="49" spans="1:15" x14ac:dyDescent="0.25">
      <c r="A49" s="79" t="s">
        <v>315</v>
      </c>
      <c r="B49" s="29" t="str">
        <f>IF(基本情報!$L$2=1,"レ","")</f>
        <v/>
      </c>
      <c r="C49" s="29" t="str">
        <f>IF(基本情報!$L$2=2,"レ","")</f>
        <v/>
      </c>
      <c r="D49" s="29" t="str">
        <f>IF(基本情報!$L$2=3,"レ","")</f>
        <v/>
      </c>
      <c r="E49">
        <f>IF(M49="",0,MAX($E$2:E48)+1)</f>
        <v>0</v>
      </c>
      <c r="F49" s="50" t="s">
        <v>289</v>
      </c>
      <c r="G49" s="46" t="s">
        <v>262</v>
      </c>
      <c r="H49" s="29" t="str">
        <f>IF('第４群 '!$B106=1,"レ","")</f>
        <v/>
      </c>
      <c r="I49" s="29" t="str">
        <f>IF('第４群 '!$B106=2,"レ","")</f>
        <v/>
      </c>
      <c r="J49" s="29" t="str">
        <f>IF('第４群 '!$B106=3,"レ","")</f>
        <v/>
      </c>
      <c r="K49" s="65"/>
      <c r="L49" s="65"/>
      <c r="M49" s="60" t="str">
        <f>IF('第４群 '!C103="","",CLEAN('第４群 '!C103))</f>
        <v/>
      </c>
      <c r="N49" s="93">
        <f t="shared" si="1"/>
        <v>0</v>
      </c>
      <c r="O49" s="93">
        <f t="shared" si="0"/>
        <v>0</v>
      </c>
    </row>
    <row r="50" spans="1:15" x14ac:dyDescent="0.25">
      <c r="E50">
        <f>IF(M50="",0,MAX($E$2:E49)+1)</f>
        <v>0</v>
      </c>
      <c r="F50" s="50" t="s">
        <v>289</v>
      </c>
      <c r="G50" s="46" t="s">
        <v>263</v>
      </c>
      <c r="H50" s="29" t="str">
        <f>IF('第４群 '!$B115=1,"レ","")</f>
        <v/>
      </c>
      <c r="I50" s="29" t="str">
        <f>IF('第４群 '!$B115=2,"レ","")</f>
        <v/>
      </c>
      <c r="J50" s="29" t="str">
        <f>IF('第４群 '!$B115=3,"レ","")</f>
        <v/>
      </c>
      <c r="K50" s="65"/>
      <c r="L50" s="65"/>
      <c r="M50" s="60" t="str">
        <f>IF('第４群 '!C112="","",CLEAN('第４群 '!C112))</f>
        <v/>
      </c>
      <c r="N50" s="93">
        <f t="shared" si="1"/>
        <v>0</v>
      </c>
      <c r="O50" s="93">
        <f t="shared" si="0"/>
        <v>0</v>
      </c>
    </row>
    <row r="51" spans="1:15" x14ac:dyDescent="0.25">
      <c r="A51" s="79" t="s">
        <v>18</v>
      </c>
      <c r="B51" s="29" t="str">
        <f>IF(基本情報!L26="","","レ")</f>
        <v/>
      </c>
      <c r="E51">
        <f>IF(M51="",0,MAX($E$2:E50)+1)</f>
        <v>0</v>
      </c>
      <c r="F51" s="50" t="s">
        <v>289</v>
      </c>
      <c r="G51" s="46" t="s">
        <v>264</v>
      </c>
      <c r="H51" s="29" t="str">
        <f>IF('第４群 '!$B124=1,"レ","")</f>
        <v/>
      </c>
      <c r="I51" s="29" t="str">
        <f>IF('第４群 '!$B124=2,"レ","")</f>
        <v/>
      </c>
      <c r="J51" s="29" t="str">
        <f>IF('第４群 '!$B124=3,"レ","")</f>
        <v/>
      </c>
      <c r="K51" s="65"/>
      <c r="L51" s="65"/>
      <c r="M51" s="60" t="str">
        <f>IF('第４群 '!C121="","",CLEAN('第４群 '!C121))</f>
        <v/>
      </c>
      <c r="N51" s="93">
        <f t="shared" si="1"/>
        <v>0</v>
      </c>
      <c r="O51" s="93">
        <f t="shared" si="0"/>
        <v>0</v>
      </c>
    </row>
    <row r="52" spans="1:15" ht="13.15" thickBot="1" x14ac:dyDescent="0.3">
      <c r="A52" s="79" t="s">
        <v>19</v>
      </c>
      <c r="B52" s="29" t="str">
        <f>IF(基本情報!L27="","","レ")</f>
        <v/>
      </c>
      <c r="E52">
        <f>IF(M52="",0,MAX($E$2:E51)+1)</f>
        <v>0</v>
      </c>
      <c r="F52" s="56" t="s">
        <v>289</v>
      </c>
      <c r="G52" s="57" t="s">
        <v>265</v>
      </c>
      <c r="H52" s="64" t="str">
        <f>IF('第４群 '!$B133=1,"レ","")</f>
        <v/>
      </c>
      <c r="I52" s="64" t="str">
        <f>IF('第４群 '!$B133=2,"レ","")</f>
        <v/>
      </c>
      <c r="J52" s="64" t="str">
        <f>IF('第４群 '!$B133=3,"レ","")</f>
        <v/>
      </c>
      <c r="K52" s="65"/>
      <c r="L52" s="65"/>
      <c r="M52" s="60" t="str">
        <f>IF('第４群 '!C130="","",CLEAN('第４群 '!C130))</f>
        <v/>
      </c>
      <c r="N52" s="93">
        <f t="shared" si="1"/>
        <v>0</v>
      </c>
      <c r="O52" s="93">
        <f t="shared" si="0"/>
        <v>0</v>
      </c>
    </row>
    <row r="53" spans="1:15" x14ac:dyDescent="0.25">
      <c r="E53">
        <f>IF(M53="",0,MAX($E$2:E52)+1)</f>
        <v>0</v>
      </c>
      <c r="F53" s="48" t="s">
        <v>290</v>
      </c>
      <c r="G53" s="54" t="s">
        <v>266</v>
      </c>
      <c r="H53" s="62" t="str">
        <f>IF(第５群!$B7=1,"レ","")</f>
        <v/>
      </c>
      <c r="I53" s="62" t="str">
        <f>IF(第５群!$B7=2,"レ","")</f>
        <v/>
      </c>
      <c r="J53" s="62" t="str">
        <f>IF(第５群!$B7=3,"レ","")</f>
        <v/>
      </c>
      <c r="K53" s="63"/>
      <c r="L53" s="63"/>
      <c r="M53" s="59" t="str">
        <f>IF(第５群!C4="","",CLEAN(第５群!C4))</f>
        <v/>
      </c>
      <c r="N53" s="93">
        <f t="shared" si="1"/>
        <v>0</v>
      </c>
      <c r="O53" s="93">
        <f t="shared" si="0"/>
        <v>0</v>
      </c>
    </row>
    <row r="54" spans="1:15" x14ac:dyDescent="0.25">
      <c r="A54" s="79" t="s">
        <v>326</v>
      </c>
      <c r="B54" s="29" t="str">
        <f>IF(基本情報!$L$20&lt;&gt;"","レ","")</f>
        <v/>
      </c>
      <c r="C54" s="29"/>
      <c r="E54">
        <f>IF(M54="",0,MAX($E$2:E53)+1)</f>
        <v>0</v>
      </c>
      <c r="F54" s="50" t="s">
        <v>290</v>
      </c>
      <c r="G54" s="46" t="s">
        <v>267</v>
      </c>
      <c r="H54" s="29" t="str">
        <f>IF(第５群!$B16=1,"レ","")</f>
        <v/>
      </c>
      <c r="I54" s="29" t="str">
        <f>IF(第５群!$B16=2,"レ","")</f>
        <v/>
      </c>
      <c r="J54" s="29" t="str">
        <f>IF(第５群!$B16=3,"レ","")</f>
        <v/>
      </c>
      <c r="K54" s="65"/>
      <c r="L54" s="65"/>
      <c r="M54" s="60" t="str">
        <f>IF(第５群!C13="","",CLEAN(第５群!C13))</f>
        <v/>
      </c>
      <c r="N54" s="93">
        <f t="shared" si="1"/>
        <v>0</v>
      </c>
      <c r="O54" s="93">
        <f t="shared" si="0"/>
        <v>0</v>
      </c>
    </row>
    <row r="55" spans="1:15" x14ac:dyDescent="0.25">
      <c r="A55" s="252" t="s">
        <v>326</v>
      </c>
      <c r="B55" s="252"/>
      <c r="E55">
        <f>IF(M55="",0,MAX($E$2:E54)+1)</f>
        <v>0</v>
      </c>
      <c r="F55" s="50" t="s">
        <v>290</v>
      </c>
      <c r="G55" s="46" t="s">
        <v>268</v>
      </c>
      <c r="H55" s="29" t="str">
        <f>IF(第５群!$B25=1,"レ","")</f>
        <v/>
      </c>
      <c r="I55" s="29" t="str">
        <f>IF(第５群!$B25=2,"レ","")</f>
        <v/>
      </c>
      <c r="J55" s="29" t="str">
        <f>IF(第５群!$B25=3,"レ","")</f>
        <v/>
      </c>
      <c r="K55" s="29" t="str">
        <f>IF(第５群!$B25=4,"レ","")</f>
        <v/>
      </c>
      <c r="L55" s="65"/>
      <c r="M55" s="60" t="str">
        <f>IF(第５群!C22="","",CLEAN(第５群!C22))</f>
        <v/>
      </c>
      <c r="N55" s="93">
        <f t="shared" si="1"/>
        <v>0</v>
      </c>
      <c r="O55" s="93">
        <f t="shared" si="0"/>
        <v>0</v>
      </c>
    </row>
    <row r="56" spans="1:15" x14ac:dyDescent="0.25">
      <c r="A56" s="29">
        <v>1</v>
      </c>
      <c r="B56" s="29" t="s">
        <v>327</v>
      </c>
      <c r="E56">
        <f>IF(M56="",0,MAX($E$2:E55)+1)</f>
        <v>0</v>
      </c>
      <c r="F56" s="50" t="s">
        <v>290</v>
      </c>
      <c r="G56" s="46" t="s">
        <v>269</v>
      </c>
      <c r="H56" s="29" t="str">
        <f>IF(第５群!$B34=1,"レ","")</f>
        <v/>
      </c>
      <c r="I56" s="29" t="str">
        <f>IF(第５群!$B34=2,"レ","")</f>
        <v/>
      </c>
      <c r="J56" s="29" t="str">
        <f>IF(第５群!$B34=3,"レ","")</f>
        <v/>
      </c>
      <c r="K56" s="47"/>
      <c r="L56" s="65"/>
      <c r="M56" s="60" t="str">
        <f>IF(第５群!C31="","",CLEAN(第５群!C31))</f>
        <v/>
      </c>
      <c r="N56" s="93">
        <f t="shared" si="1"/>
        <v>0</v>
      </c>
      <c r="O56" s="93">
        <f t="shared" si="0"/>
        <v>0</v>
      </c>
    </row>
    <row r="57" spans="1:15" x14ac:dyDescent="0.25">
      <c r="A57" s="29">
        <v>2</v>
      </c>
      <c r="B57" s="29" t="s">
        <v>328</v>
      </c>
      <c r="E57">
        <f>IF(M57="",0,MAX($E$2:E56)+1)</f>
        <v>0</v>
      </c>
      <c r="F57" s="50" t="s">
        <v>290</v>
      </c>
      <c r="G57" s="46" t="s">
        <v>270</v>
      </c>
      <c r="H57" s="29" t="str">
        <f>IF(第５群!$B43=1,"レ","")</f>
        <v/>
      </c>
      <c r="I57" s="29" t="str">
        <f>IF(第５群!$B43=2,"レ","")</f>
        <v/>
      </c>
      <c r="J57" s="29" t="str">
        <f>IF(第５群!$B43=3,"レ","")</f>
        <v/>
      </c>
      <c r="K57" s="29" t="str">
        <f>IF(第５群!$B43=4,"レ","")</f>
        <v/>
      </c>
      <c r="L57" s="65"/>
      <c r="M57" s="60" t="str">
        <f>IF(第５群!C40="","",CLEAN(第５群!C40))</f>
        <v/>
      </c>
      <c r="N57" s="93">
        <f t="shared" si="1"/>
        <v>0</v>
      </c>
      <c r="O57" s="93">
        <f t="shared" si="0"/>
        <v>0</v>
      </c>
    </row>
    <row r="58" spans="1:15" ht="13.15" thickBot="1" x14ac:dyDescent="0.3">
      <c r="E58">
        <f>IF(M58="",0,MAX($E$2:E57)+1)</f>
        <v>0</v>
      </c>
      <c r="F58" s="56" t="s">
        <v>290</v>
      </c>
      <c r="G58" s="57" t="s">
        <v>271</v>
      </c>
      <c r="H58" s="64" t="str">
        <f>IF(第５群!$B52=1,"レ","")</f>
        <v/>
      </c>
      <c r="I58" s="64" t="str">
        <f>IF(第５群!$B52=2,"レ","")</f>
        <v/>
      </c>
      <c r="J58" s="64" t="str">
        <f>IF(第５群!$B52=3,"レ","")</f>
        <v/>
      </c>
      <c r="K58" s="64" t="str">
        <f>IF(第５群!$B52=4,"レ","")</f>
        <v/>
      </c>
      <c r="L58" s="65"/>
      <c r="M58" s="60" t="str">
        <f>IF(第５群!C49="","",CLEAN(第５群!C49))</f>
        <v/>
      </c>
      <c r="N58" s="93">
        <f t="shared" si="1"/>
        <v>0</v>
      </c>
      <c r="O58" s="93">
        <f t="shared" si="0"/>
        <v>0</v>
      </c>
    </row>
    <row r="59" spans="1:15" x14ac:dyDescent="0.25">
      <c r="E59">
        <f>IF(M59="",0,MAX($E$2:E58)+1)</f>
        <v>0</v>
      </c>
      <c r="F59" s="48" t="s">
        <v>291</v>
      </c>
      <c r="G59" s="54" t="s">
        <v>272</v>
      </c>
      <c r="H59" s="242">
        <f>COUNTIF(B15:B26,TRUE)</f>
        <v>0</v>
      </c>
      <c r="I59" s="63"/>
      <c r="J59" s="63"/>
      <c r="K59" s="63"/>
      <c r="L59" s="63"/>
      <c r="M59" s="59" t="str">
        <f>IF('第６，７群 '!C4="","",CLEAN('第６，７群 '!C4))</f>
        <v/>
      </c>
      <c r="N59" t="str">
        <f>IF(C15="","",C15)</f>
        <v/>
      </c>
      <c r="O59" s="93">
        <f t="shared" si="0"/>
        <v>0</v>
      </c>
    </row>
    <row r="60" spans="1:15" x14ac:dyDescent="0.25">
      <c r="A60" s="79" t="s">
        <v>349</v>
      </c>
      <c r="E60">
        <f>IF(M60="",0,MAX($E$2:E59)+1)</f>
        <v>0</v>
      </c>
      <c r="F60" s="50" t="s">
        <v>291</v>
      </c>
      <c r="G60" s="46" t="s">
        <v>273</v>
      </c>
      <c r="H60" s="243"/>
      <c r="I60" s="65"/>
      <c r="J60" s="65"/>
      <c r="K60" s="65"/>
      <c r="L60" s="65"/>
      <c r="M60" s="60" t="str">
        <f>IF('第６，７群 '!C13="","",CLEAN('第６，７群 '!C13))</f>
        <v/>
      </c>
      <c r="N60" t="str">
        <f t="shared" ref="N60:N70" si="3">IF(C16="","",C16)</f>
        <v/>
      </c>
      <c r="O60" s="93">
        <f t="shared" si="0"/>
        <v>0</v>
      </c>
    </row>
    <row r="61" spans="1:15" x14ac:dyDescent="0.25">
      <c r="A61" s="34">
        <f>IF($M$78&lt;=12,1,"")</f>
        <v>1</v>
      </c>
      <c r="E61">
        <f>IF(M61="",0,MAX($E$2:E60)+1)</f>
        <v>0</v>
      </c>
      <c r="F61" s="50" t="s">
        <v>291</v>
      </c>
      <c r="G61" s="46" t="s">
        <v>274</v>
      </c>
      <c r="H61" s="243"/>
      <c r="I61" s="65"/>
      <c r="J61" s="65"/>
      <c r="K61" s="65"/>
      <c r="L61" s="65"/>
      <c r="M61" s="60" t="str">
        <f>IF('第６，７群 '!C22="","",CLEAN('第６，７群 '!C22))</f>
        <v/>
      </c>
      <c r="N61" t="str">
        <f t="shared" si="3"/>
        <v/>
      </c>
      <c r="O61" s="93">
        <f t="shared" si="0"/>
        <v>0</v>
      </c>
    </row>
    <row r="62" spans="1:15" x14ac:dyDescent="0.25">
      <c r="A62" s="34" t="str">
        <f>IF(AND($M$78&gt;=13,$M$78&lt;=24),2,"")</f>
        <v/>
      </c>
      <c r="E62">
        <f>IF(M62="",0,MAX($E$2:E61)+1)</f>
        <v>0</v>
      </c>
      <c r="F62" s="50" t="s">
        <v>291</v>
      </c>
      <c r="G62" s="46" t="s">
        <v>275</v>
      </c>
      <c r="H62" s="243"/>
      <c r="I62" s="65"/>
      <c r="J62" s="65"/>
      <c r="K62" s="65"/>
      <c r="L62" s="65"/>
      <c r="M62" s="60" t="str">
        <f>IF('第６，７群 '!C31="","",CLEAN('第６，７群 '!C31))</f>
        <v/>
      </c>
      <c r="N62" t="str">
        <f t="shared" si="3"/>
        <v/>
      </c>
      <c r="O62" s="93">
        <f t="shared" si="0"/>
        <v>0</v>
      </c>
    </row>
    <row r="63" spans="1:15" x14ac:dyDescent="0.25">
      <c r="A63" s="34" t="str">
        <f>IF(AND($M$78&gt;=25,$M$78&lt;=36),3,"")</f>
        <v/>
      </c>
      <c r="E63">
        <f>IF(M63="",0,MAX($E$2:E62)+1)</f>
        <v>0</v>
      </c>
      <c r="F63" s="50" t="s">
        <v>291</v>
      </c>
      <c r="G63" s="46" t="s">
        <v>276</v>
      </c>
      <c r="H63" s="243"/>
      <c r="I63" s="65"/>
      <c r="J63" s="65"/>
      <c r="K63" s="65"/>
      <c r="L63" s="65"/>
      <c r="M63" s="60" t="str">
        <f>IF('第６，７群 '!C40="","",CLEAN('第６，７群 '!C40))</f>
        <v/>
      </c>
      <c r="N63" t="str">
        <f t="shared" si="3"/>
        <v/>
      </c>
      <c r="O63" s="93">
        <f t="shared" si="0"/>
        <v>0</v>
      </c>
    </row>
    <row r="64" spans="1:15" ht="13.15" thickBot="1" x14ac:dyDescent="0.3">
      <c r="A64" s="34" t="str">
        <f>IF($M$78&gt;=37,4,"")</f>
        <v/>
      </c>
      <c r="E64">
        <f>IF(M64="",0,MAX($E$2:E63)+1)</f>
        <v>0</v>
      </c>
      <c r="F64" s="50" t="s">
        <v>291</v>
      </c>
      <c r="G64" s="46" t="s">
        <v>277</v>
      </c>
      <c r="H64" s="243"/>
      <c r="I64" s="65"/>
      <c r="J64" s="65"/>
      <c r="K64" s="65"/>
      <c r="L64" s="65"/>
      <c r="M64" s="60" t="str">
        <f>IF('第６，７群 '!C49="","",CLEAN('第６，７群 '!C49))</f>
        <v/>
      </c>
      <c r="N64" t="str">
        <f t="shared" si="3"/>
        <v/>
      </c>
      <c r="O64" s="93">
        <f t="shared" si="0"/>
        <v>0</v>
      </c>
    </row>
    <row r="65" spans="1:15" ht="13.15" thickBot="1" x14ac:dyDescent="0.3">
      <c r="A65" s="117">
        <f>SUM(A61:A64)</f>
        <v>1</v>
      </c>
      <c r="E65">
        <f>IF(M65="",0,MAX($E$2:E64)+1)</f>
        <v>0</v>
      </c>
      <c r="F65" s="50" t="s">
        <v>291</v>
      </c>
      <c r="G65" s="46" t="s">
        <v>278</v>
      </c>
      <c r="H65" s="243"/>
      <c r="I65" s="65"/>
      <c r="J65" s="65"/>
      <c r="K65" s="65"/>
      <c r="L65" s="65"/>
      <c r="M65" s="60" t="str">
        <f>IF('第６，７群 '!C58="","",CLEAN('第６，７群 '!C58))</f>
        <v/>
      </c>
      <c r="N65" t="str">
        <f t="shared" si="3"/>
        <v/>
      </c>
      <c r="O65" s="93">
        <f t="shared" si="0"/>
        <v>0</v>
      </c>
    </row>
    <row r="66" spans="1:15" x14ac:dyDescent="0.25">
      <c r="E66">
        <f>IF(M66="",0,MAX($E$2:E65)+1)</f>
        <v>0</v>
      </c>
      <c r="F66" s="50" t="s">
        <v>291</v>
      </c>
      <c r="G66" s="46" t="s">
        <v>279</v>
      </c>
      <c r="H66" s="243"/>
      <c r="I66" s="65"/>
      <c r="J66" s="65"/>
      <c r="K66" s="65"/>
      <c r="L66" s="65"/>
      <c r="M66" s="60" t="str">
        <f>IF('第６，７群 '!C67="","",CLEAN('第６，７群 '!C67))</f>
        <v/>
      </c>
      <c r="N66" t="str">
        <f t="shared" si="3"/>
        <v/>
      </c>
      <c r="O66" s="93">
        <f t="shared" si="0"/>
        <v>0</v>
      </c>
    </row>
    <row r="67" spans="1:15" x14ac:dyDescent="0.25">
      <c r="E67">
        <f>IF(M67="",0,MAX($E$2:E66)+1)</f>
        <v>0</v>
      </c>
      <c r="F67" s="50" t="s">
        <v>291</v>
      </c>
      <c r="G67" s="46" t="s">
        <v>280</v>
      </c>
      <c r="H67" s="243"/>
      <c r="I67" s="65"/>
      <c r="J67" s="65"/>
      <c r="K67" s="65"/>
      <c r="L67" s="65"/>
      <c r="M67" s="60" t="str">
        <f>IF('第６，７群 '!C76="","",CLEAN('第６，７群 '!C76))</f>
        <v/>
      </c>
      <c r="N67" t="str">
        <f t="shared" si="3"/>
        <v/>
      </c>
      <c r="O67" s="93">
        <f t="shared" si="0"/>
        <v>0</v>
      </c>
    </row>
    <row r="68" spans="1:15" x14ac:dyDescent="0.25">
      <c r="E68">
        <f>IF(M68="",0,MAX($E$2:E67)+1)</f>
        <v>0</v>
      </c>
      <c r="F68" s="50" t="s">
        <v>291</v>
      </c>
      <c r="G68" s="46" t="s">
        <v>281</v>
      </c>
      <c r="H68" s="243"/>
      <c r="I68" s="65"/>
      <c r="J68" s="65"/>
      <c r="K68" s="65"/>
      <c r="L68" s="65"/>
      <c r="M68" s="60" t="str">
        <f>IF('第６，７群 '!C85="","",CLEAN('第６，７群 '!C85))</f>
        <v/>
      </c>
      <c r="N68" t="str">
        <f t="shared" si="3"/>
        <v/>
      </c>
      <c r="O68" s="93">
        <f t="shared" si="0"/>
        <v>0</v>
      </c>
    </row>
    <row r="69" spans="1:15" x14ac:dyDescent="0.25">
      <c r="E69">
        <f>IF(M69="",0,MAX($E$2:E68)+1)</f>
        <v>0</v>
      </c>
      <c r="F69" s="50" t="s">
        <v>291</v>
      </c>
      <c r="G69" s="46" t="s">
        <v>282</v>
      </c>
      <c r="H69" s="243"/>
      <c r="I69" s="65"/>
      <c r="J69" s="65"/>
      <c r="K69" s="65"/>
      <c r="L69" s="65"/>
      <c r="M69" s="60" t="str">
        <f>IF('第６，７群 '!C94="","",CLEAN('第６，７群 '!C94))</f>
        <v/>
      </c>
      <c r="N69" t="str">
        <f t="shared" si="3"/>
        <v/>
      </c>
      <c r="O69" s="93">
        <f>LEN(M69)</f>
        <v>0</v>
      </c>
    </row>
    <row r="70" spans="1:15" ht="13.15" thickBot="1" x14ac:dyDescent="0.3">
      <c r="E70">
        <f>IF(M70="",0,MAX($E$2:E69)+1)</f>
        <v>0</v>
      </c>
      <c r="F70" s="56" t="s">
        <v>291</v>
      </c>
      <c r="G70" s="57" t="s">
        <v>283</v>
      </c>
      <c r="H70" s="244"/>
      <c r="I70" s="65"/>
      <c r="J70" s="65"/>
      <c r="K70" s="65"/>
      <c r="L70" s="65"/>
      <c r="M70" s="60" t="str">
        <f>IF('第６，７群 '!C103="","",CLEAN('第６，７群 '!C103))</f>
        <v/>
      </c>
      <c r="N70" t="str">
        <f t="shared" si="3"/>
        <v/>
      </c>
      <c r="O70" s="93">
        <f>LEN(M70)</f>
        <v>0</v>
      </c>
    </row>
    <row r="71" spans="1:15" x14ac:dyDescent="0.25">
      <c r="E71">
        <f>IF(M71="",0,MAX($E$2:E70)+1)</f>
        <v>0</v>
      </c>
      <c r="F71" s="245" t="s">
        <v>292</v>
      </c>
      <c r="G71" s="248" t="s">
        <v>284</v>
      </c>
      <c r="H71" s="62" t="str">
        <f>IF('第６，７群 '!$L$7="自立","レ","")</f>
        <v/>
      </c>
      <c r="I71" s="62" t="str">
        <f>IF('第６，７群 '!$L$7="J1","レ","")</f>
        <v/>
      </c>
      <c r="J71" s="62" t="str">
        <f>IF('第６，７群 '!$L$7="J2","レ","")</f>
        <v/>
      </c>
      <c r="K71" s="62" t="str">
        <f>IF('第６，７群 '!$L$7="A1","レ","")</f>
        <v/>
      </c>
      <c r="L71" s="62" t="str">
        <f>IF('第６，７群 '!$L$7="A2","レ","")</f>
        <v/>
      </c>
      <c r="M71" s="236" t="str">
        <f>IF('第６，７群 '!M4="","",CLEAN('第６，７群 '!M4))</f>
        <v/>
      </c>
      <c r="N71" s="11"/>
      <c r="O71" s="253">
        <f>LEN(M71)</f>
        <v>0</v>
      </c>
    </row>
    <row r="72" spans="1:15" x14ac:dyDescent="0.25">
      <c r="E72">
        <f>IF(M72="",0,MAX($E$2:E71)+1)</f>
        <v>0</v>
      </c>
      <c r="F72" s="246"/>
      <c r="G72" s="249"/>
      <c r="H72" s="64" t="str">
        <f>IF('第６，７群 '!$L$7="B1","レ","")</f>
        <v/>
      </c>
      <c r="I72" s="64" t="str">
        <f>IF('第６，７群 '!$L$7="B2","レ","")</f>
        <v/>
      </c>
      <c r="J72" s="64" t="str">
        <f>IF('第６，７群 '!$L$7="C1","レ","")</f>
        <v/>
      </c>
      <c r="K72" s="64" t="str">
        <f>IF('第６，７群 '!$L$7="C2","レ","")</f>
        <v/>
      </c>
      <c r="L72" s="65"/>
      <c r="M72" s="237"/>
      <c r="N72" s="11"/>
      <c r="O72" s="253"/>
    </row>
    <row r="73" spans="1:15" x14ac:dyDescent="0.25">
      <c r="E73">
        <f>IF(M73="",0,MAX($E$2:E72)+1)</f>
        <v>0</v>
      </c>
      <c r="F73" s="246" t="s">
        <v>292</v>
      </c>
      <c r="G73" s="249" t="s">
        <v>285</v>
      </c>
      <c r="H73" s="29" t="str">
        <f>IF('第６，７群 '!$L$16="自立","レ","")</f>
        <v/>
      </c>
      <c r="I73" s="29" t="str">
        <f>IF('第６，７群 '!$L$16="Ⅰ","レ","")</f>
        <v/>
      </c>
      <c r="J73" s="29" t="str">
        <f>IF('第６，７群 '!$L$16="Ⅱa","レ","")</f>
        <v/>
      </c>
      <c r="K73" s="29" t="str">
        <f>IF('第６，７群 '!$L$16="Ⅱb","レ","")</f>
        <v/>
      </c>
      <c r="L73" s="29" t="str">
        <f>IF('第６，７群 '!$L$16="Ⅲa","レ","")</f>
        <v/>
      </c>
      <c r="M73" s="237" t="str">
        <f>IF('第６，７群 '!M13="","",CLEAN('第６，７群 '!M13))</f>
        <v/>
      </c>
      <c r="N73" s="11"/>
      <c r="O73" s="253">
        <f>LEN(M73)</f>
        <v>0</v>
      </c>
    </row>
    <row r="74" spans="1:15" ht="13.15" thickBot="1" x14ac:dyDescent="0.3">
      <c r="E74">
        <f>IF(M74="",0,MAX($E$2:E73)+1)</f>
        <v>0</v>
      </c>
      <c r="F74" s="247"/>
      <c r="G74" s="250"/>
      <c r="H74" s="68" t="str">
        <f>IF('第６，７群 '!$L$16="Ⅲb","レ","")</f>
        <v/>
      </c>
      <c r="I74" s="68" t="str">
        <f>IF('第６，７群 '!$L$16="Ⅳ","レ","")</f>
        <v/>
      </c>
      <c r="J74" s="68" t="str">
        <f>IF('第６，７群 '!$L$16="M","レ","")</f>
        <v/>
      </c>
      <c r="K74" s="67"/>
      <c r="L74" s="67"/>
      <c r="M74" s="238"/>
      <c r="N74" s="11"/>
      <c r="O74" s="253"/>
    </row>
    <row r="75" spans="1:15" x14ac:dyDescent="0.25">
      <c r="E75">
        <f>IF(M75="",0,MAX($E$2:E74)+1)</f>
        <v>0</v>
      </c>
      <c r="F75" s="75" t="s">
        <v>387</v>
      </c>
      <c r="G75" s="139" t="s">
        <v>387</v>
      </c>
      <c r="H75" s="63"/>
      <c r="I75" s="63"/>
      <c r="J75" s="63"/>
      <c r="K75" s="63"/>
      <c r="L75" s="63"/>
      <c r="M75" s="81" t="str">
        <f>IF(基本情報!V23="","",CLEAN(基本情報!V23))</f>
        <v/>
      </c>
      <c r="N75" s="11"/>
      <c r="O75" s="93">
        <f>LEN(M75)</f>
        <v>0</v>
      </c>
    </row>
    <row r="76" spans="1:15" x14ac:dyDescent="0.25">
      <c r="E76">
        <f>IF(M76="",0,MAX($E$2:E75)+1)</f>
        <v>0</v>
      </c>
      <c r="F76" s="166" t="s">
        <v>387</v>
      </c>
      <c r="G76" s="167" t="s">
        <v>387</v>
      </c>
      <c r="H76" s="65"/>
      <c r="I76" s="65"/>
      <c r="J76" s="65"/>
      <c r="K76" s="65"/>
      <c r="L76" s="65"/>
      <c r="M76" s="164" t="str">
        <f>IF(基本情報!V33="","",CLEAN(基本情報!V33))</f>
        <v/>
      </c>
      <c r="N76" s="11"/>
      <c r="O76" s="93">
        <f>LEN(M76)</f>
        <v>0</v>
      </c>
    </row>
    <row r="77" spans="1:15" ht="13.15" thickBot="1" x14ac:dyDescent="0.3">
      <c r="A77" s="77" t="s">
        <v>372</v>
      </c>
      <c r="B77" s="34">
        <f>エラー!B21+エラー!E41+エラー!I43</f>
        <v>71</v>
      </c>
      <c r="C77" s="34">
        <f>IF(B77&gt;=1,2,0)</f>
        <v>2</v>
      </c>
      <c r="E77">
        <f>IF(M77="",0,MAX($E$2:E76)+1)</f>
        <v>0</v>
      </c>
      <c r="F77" s="76" t="s">
        <v>417</v>
      </c>
      <c r="G77" s="140" t="s">
        <v>417</v>
      </c>
      <c r="H77" s="67"/>
      <c r="I77" s="67"/>
      <c r="J77" s="67"/>
      <c r="K77" s="67"/>
      <c r="L77" s="67"/>
      <c r="M77" s="82" t="str">
        <f>IF(基本情報!V43="","",CLEAN(基本情報!V43))</f>
        <v/>
      </c>
      <c r="N77" s="11"/>
      <c r="O77" s="93">
        <f>LEN(M77)</f>
        <v>0</v>
      </c>
    </row>
    <row r="78" spans="1:15" ht="13.15" thickBot="1" x14ac:dyDescent="0.3">
      <c r="A78" s="77" t="s">
        <v>373</v>
      </c>
      <c r="B78" s="34">
        <f>エラー!B22+エラー!E42+エラー!I44+エラー!S61</f>
        <v>0</v>
      </c>
      <c r="C78" s="136">
        <f>IF(B78&gt;=1,1,0)</f>
        <v>0</v>
      </c>
      <c r="D78" s="117">
        <f>C77+C78</f>
        <v>2</v>
      </c>
      <c r="M78" s="138">
        <f>76-COUNTBLANK(M2:M77)</f>
        <v>0</v>
      </c>
    </row>
    <row r="80" spans="1:15" x14ac:dyDescent="0.25">
      <c r="A80" s="29">
        <v>0</v>
      </c>
      <c r="B80" t="s">
        <v>377</v>
      </c>
    </row>
    <row r="81" spans="1:2" x14ac:dyDescent="0.25">
      <c r="A81" s="29">
        <v>1</v>
      </c>
      <c r="B81" t="s">
        <v>378</v>
      </c>
    </row>
    <row r="82" spans="1:2" x14ac:dyDescent="0.25">
      <c r="A82" s="29">
        <v>2</v>
      </c>
      <c r="B82" t="s">
        <v>376</v>
      </c>
    </row>
    <row r="83" spans="1:2" x14ac:dyDescent="0.25">
      <c r="A83" s="29">
        <v>3</v>
      </c>
      <c r="B83" t="s">
        <v>376</v>
      </c>
    </row>
  </sheetData>
  <mergeCells count="19">
    <mergeCell ref="O71:O72"/>
    <mergeCell ref="O73:O74"/>
    <mergeCell ref="Q2:R2"/>
    <mergeCell ref="S2:T2"/>
    <mergeCell ref="U2:V2"/>
    <mergeCell ref="P1:P2"/>
    <mergeCell ref="M71:M72"/>
    <mergeCell ref="M73:M74"/>
    <mergeCell ref="H1:L1"/>
    <mergeCell ref="A14:B14"/>
    <mergeCell ref="H59:H70"/>
    <mergeCell ref="F71:F72"/>
    <mergeCell ref="F73:F74"/>
    <mergeCell ref="G71:G72"/>
    <mergeCell ref="G73:G74"/>
    <mergeCell ref="A29:B29"/>
    <mergeCell ref="A33:B33"/>
    <mergeCell ref="A44:B44"/>
    <mergeCell ref="A55:B55"/>
  </mergeCells>
  <phoneticPr fontId="1"/>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AC62"/>
  <sheetViews>
    <sheetView showGridLines="0" zoomScaleNormal="100" workbookViewId="0"/>
  </sheetViews>
  <sheetFormatPr defaultColWidth="9" defaultRowHeight="14.1" customHeight="1" x14ac:dyDescent="0.25"/>
  <cols>
    <col min="1" max="1" width="12.86328125" style="94" bestFit="1" customWidth="1"/>
    <col min="2" max="2" width="29.6640625" style="94" bestFit="1" customWidth="1"/>
    <col min="3" max="3" width="4.6640625" style="94" customWidth="1"/>
    <col min="4" max="4" width="23" style="94" bestFit="1" customWidth="1"/>
    <col min="5" max="5" width="9" style="96"/>
    <col min="6" max="6" width="9" style="97"/>
    <col min="7" max="7" width="4.6640625" style="94" customWidth="1"/>
    <col min="8" max="8" width="26.33203125" style="94" bestFit="1" customWidth="1"/>
    <col min="9" max="9" width="9" style="96"/>
    <col min="10" max="28" width="9" style="94"/>
    <col min="29" max="29" width="3.6640625" style="94" customWidth="1"/>
    <col min="30" max="16384" width="9" style="94"/>
  </cols>
  <sheetData>
    <row r="1" spans="1:29" ht="14.1" customHeight="1" x14ac:dyDescent="0.25">
      <c r="AC1" s="131"/>
    </row>
    <row r="2" spans="1:29" ht="14.1" customHeight="1" x14ac:dyDescent="0.25">
      <c r="A2" s="264" t="s">
        <v>369</v>
      </c>
      <c r="B2" s="264"/>
      <c r="D2" s="95" t="s">
        <v>339</v>
      </c>
      <c r="E2" s="149" t="s">
        <v>392</v>
      </c>
      <c r="F2" s="150" t="s">
        <v>393</v>
      </c>
      <c r="H2" s="95" t="s">
        <v>342</v>
      </c>
      <c r="I2" s="149" t="s">
        <v>392</v>
      </c>
      <c r="J2" s="150" t="s">
        <v>393</v>
      </c>
      <c r="K2" s="170"/>
      <c r="N2" s="114" t="s">
        <v>348</v>
      </c>
      <c r="R2" s="258" t="s">
        <v>347</v>
      </c>
      <c r="S2" s="259"/>
      <c r="T2" s="259"/>
      <c r="U2" s="259"/>
      <c r="V2" s="259"/>
      <c r="W2" s="259"/>
      <c r="X2" s="259"/>
      <c r="Y2" s="259"/>
      <c r="Z2" s="260"/>
      <c r="AC2" s="131"/>
    </row>
    <row r="3" spans="1:29" ht="14.1" customHeight="1" x14ac:dyDescent="0.25">
      <c r="A3" s="99" t="s">
        <v>0</v>
      </c>
      <c r="B3" s="100" t="str">
        <f>IF(基本情報!B2="","必須項目が未入力です！","")</f>
        <v>必須項目が未入力です！</v>
      </c>
      <c r="D3" s="45" t="s">
        <v>221</v>
      </c>
      <c r="E3" s="144"/>
      <c r="F3" s="101" t="str">
        <f>IF(AND(計算シート!N4=1,計算シート!M4=""),"特記なし","")</f>
        <v/>
      </c>
      <c r="H3" s="46" t="s">
        <v>251</v>
      </c>
      <c r="I3" s="100" t="str">
        <f>IF('第４群 '!$B$7="","未選択","")</f>
        <v>未選択</v>
      </c>
      <c r="J3" s="101" t="str">
        <f>IF(AND(計算シート!N38=1,計算シート!M38=""),"特記なし","")</f>
        <v/>
      </c>
      <c r="K3" s="97"/>
      <c r="N3" s="108" t="str">
        <f>IF(計算シート!M78&gt;48,"特記事項が48を超えています。","")</f>
        <v/>
      </c>
      <c r="O3" s="115"/>
      <c r="P3" s="116"/>
      <c r="R3" s="102">
        <v>1</v>
      </c>
      <c r="S3" s="113" t="str">
        <f>IF(AND(第１群!B25=3,第１群!B88=1),"「1-3寝返り」が「3.できない」にもかかわらず、「1-10洗身」が「1.介助されていない」","")</f>
        <v/>
      </c>
      <c r="T3" s="109"/>
      <c r="U3" s="109"/>
      <c r="V3" s="109"/>
      <c r="W3" s="109"/>
      <c r="X3" s="109"/>
      <c r="Y3" s="109"/>
      <c r="Z3" s="110"/>
      <c r="AC3" s="131"/>
    </row>
    <row r="4" spans="1:29" ht="14.1" customHeight="1" x14ac:dyDescent="0.25">
      <c r="A4" s="103" t="s">
        <v>380</v>
      </c>
      <c r="B4" s="100" t="str">
        <f>IF(基本情報!B3="","必須項目が未入力です！","")</f>
        <v>必須項目が未入力です！</v>
      </c>
      <c r="D4" s="45" t="s">
        <v>222</v>
      </c>
      <c r="E4" s="145"/>
      <c r="F4" s="101" t="str">
        <f>IF(AND(計算シート!N5=1,計算シート!M5=""),"特記なし","")</f>
        <v/>
      </c>
      <c r="H4" s="46" t="s">
        <v>252</v>
      </c>
      <c r="I4" s="100" t="str">
        <f>IF('第４群 '!$B$16="","未選択","")</f>
        <v>未選択</v>
      </c>
      <c r="J4" s="101" t="str">
        <f>IF(AND(計算シート!N39=1,計算シート!M39=""),"特記なし","")</f>
        <v/>
      </c>
      <c r="K4" s="97"/>
      <c r="R4" s="102">
        <v>2</v>
      </c>
      <c r="S4" s="113" t="str">
        <f>IF(AND(第１群!$B$34=3,第１群!B70=1),"「1-4起き上がり」が「3.できない」にもかかわらず、「1-8立ち上がり」が「1.できる」","")</f>
        <v/>
      </c>
      <c r="T4" s="109"/>
      <c r="U4" s="109"/>
      <c r="V4" s="109"/>
      <c r="W4" s="109"/>
      <c r="X4" s="109"/>
      <c r="Y4" s="109"/>
      <c r="Z4" s="110"/>
      <c r="AC4" s="131"/>
    </row>
    <row r="5" spans="1:29" ht="14.1" customHeight="1" x14ac:dyDescent="0.25">
      <c r="A5" s="104" t="s">
        <v>300</v>
      </c>
      <c r="B5" s="100" t="str">
        <f>IF(基本情報!B4="","必須項目が未入力です！","")</f>
        <v>必須項目が未入力です！</v>
      </c>
      <c r="D5" s="45" t="s">
        <v>223</v>
      </c>
      <c r="E5" s="100" t="str">
        <f>IF(第１群!$B$25="","未選択","")</f>
        <v>未選択</v>
      </c>
      <c r="F5" s="101" t="str">
        <f>IF(AND(計算シート!N6=1,計算シート!M6=""),"特記なし","")</f>
        <v/>
      </c>
      <c r="H5" s="46" t="s">
        <v>253</v>
      </c>
      <c r="I5" s="100" t="str">
        <f>IF('第４群 '!$B$25="","未選択","")</f>
        <v>未選択</v>
      </c>
      <c r="J5" s="101" t="str">
        <f>IF(AND(計算シート!N40=1,計算シート!M40=""),"特記なし","")</f>
        <v/>
      </c>
      <c r="K5" s="97"/>
      <c r="R5" s="102">
        <v>3</v>
      </c>
      <c r="S5" s="113" t="str">
        <f>IF(AND(第１群!$B$34=3,第１群!B88=1),"「1-4起き上がり」が「3.できない」にもかかわらず、「1-10洗身」が「1.介助されていない」","")</f>
        <v/>
      </c>
      <c r="T5" s="109"/>
      <c r="U5" s="109"/>
      <c r="V5" s="109"/>
      <c r="W5" s="109"/>
      <c r="X5" s="109"/>
      <c r="Y5" s="109"/>
      <c r="Z5" s="110"/>
      <c r="AC5" s="131"/>
    </row>
    <row r="6" spans="1:29" ht="14.1" customHeight="1" x14ac:dyDescent="0.25">
      <c r="A6" s="103" t="s">
        <v>334</v>
      </c>
      <c r="B6" s="100" t="str">
        <f>IF(AND(基本情報!B5&lt;&gt;"",基本情報!D5&lt;&gt;"",基本情報!F5&lt;&gt;"",基本情報!H5&lt;&gt;""),"","必須項目が未入力です！")</f>
        <v>必須項目が未入力です！</v>
      </c>
      <c r="D6" s="45" t="s">
        <v>224</v>
      </c>
      <c r="E6" s="100" t="str">
        <f>IF(第１群!$B$34="","未選択","")</f>
        <v>未選択</v>
      </c>
      <c r="F6" s="101" t="str">
        <f>IF(AND(計算シート!N7=1,計算シート!M7=""),"特記なし","")</f>
        <v/>
      </c>
      <c r="H6" s="46" t="s">
        <v>254</v>
      </c>
      <c r="I6" s="100" t="str">
        <f>IF('第４群 '!$B$34="","未選択","")</f>
        <v>未選択</v>
      </c>
      <c r="J6" s="101" t="str">
        <f>IF(AND(計算シート!N41=1,計算シート!M41=""),"特記なし","")</f>
        <v/>
      </c>
      <c r="K6" s="97"/>
      <c r="R6" s="102">
        <v>4</v>
      </c>
      <c r="S6" s="113" t="str">
        <f>IF(AND(第１群!$B$43=3,第１群!B79=1),"「1-5座位保持」が「3.支えが必要」にもかかわらず、「1-9片足での立位」が「1.できる」","")</f>
        <v/>
      </c>
      <c r="T6" s="109"/>
      <c r="U6" s="109"/>
      <c r="V6" s="109"/>
      <c r="W6" s="109"/>
      <c r="X6" s="109"/>
      <c r="Y6" s="109"/>
      <c r="Z6" s="110"/>
      <c r="AC6" s="131"/>
    </row>
    <row r="7" spans="1:29" ht="14.1" customHeight="1" x14ac:dyDescent="0.25">
      <c r="A7" s="103" t="s">
        <v>427</v>
      </c>
      <c r="B7" s="100" t="str">
        <f>IF(基本情報!B6="","必須項目が未入力です！","")</f>
        <v>必須項目が未入力です！</v>
      </c>
      <c r="D7" s="45" t="s">
        <v>225</v>
      </c>
      <c r="E7" s="100" t="str">
        <f>IF(第１群!$B$43="","未選択","")</f>
        <v>未選択</v>
      </c>
      <c r="F7" s="101" t="str">
        <f>IF(AND(計算シート!N8=1,計算シート!M8=""),"特記なし","")</f>
        <v/>
      </c>
      <c r="H7" s="46" t="s">
        <v>255</v>
      </c>
      <c r="I7" s="100" t="str">
        <f>IF('第４群 '!$B$43="","未選択","")</f>
        <v>未選択</v>
      </c>
      <c r="J7" s="101" t="str">
        <f>IF(AND(計算シート!N42=1,計算シート!M42=""),"特記なし","")</f>
        <v/>
      </c>
      <c r="K7" s="97"/>
      <c r="R7" s="102">
        <v>5</v>
      </c>
      <c r="S7" s="113" t="str">
        <f>IF(AND(第１群!$B$43=4,第１群!B52=1),"「1-5座位保持」が「4.できない」にもかかわらず、「1-6両足での立位」が「1.できる」","")</f>
        <v/>
      </c>
      <c r="T7" s="109"/>
      <c r="U7" s="109"/>
      <c r="V7" s="109"/>
      <c r="W7" s="109"/>
      <c r="X7" s="109"/>
      <c r="Y7" s="109"/>
      <c r="Z7" s="110"/>
      <c r="AC7" s="131"/>
    </row>
    <row r="8" spans="1:29" ht="14.1" customHeight="1" x14ac:dyDescent="0.25">
      <c r="A8" s="103" t="s">
        <v>421</v>
      </c>
      <c r="B8" s="100" t="str">
        <f>IF(基本情報!B8="","必須項目が未入力です！","")</f>
        <v>必須項目が未入力です！</v>
      </c>
      <c r="D8" s="45" t="s">
        <v>388</v>
      </c>
      <c r="E8" s="100" t="str">
        <f>IF(第１群!$B$52="","未選択","")</f>
        <v>未選択</v>
      </c>
      <c r="F8" s="101" t="str">
        <f>IF(AND(計算シート!N9=1,計算シート!M9=""),"特記なし","")</f>
        <v/>
      </c>
      <c r="H8" s="46" t="s">
        <v>256</v>
      </c>
      <c r="I8" s="100" t="str">
        <f>IF('第４群 '!$B$52="","未選択","")</f>
        <v>未選択</v>
      </c>
      <c r="J8" s="101" t="str">
        <f>IF(AND(計算シート!N43=1,計算シート!M43=""),"特記なし","")</f>
        <v/>
      </c>
      <c r="K8" s="97"/>
      <c r="R8" s="102">
        <v>6</v>
      </c>
      <c r="S8" s="113" t="str">
        <f>IF(AND(第１群!$B$43=4,第１群!B61=1),"「1-5座位保持」が「4.できない」にもかかわらず、「1-7歩行」が「1.できる」","")</f>
        <v/>
      </c>
      <c r="T8" s="109"/>
      <c r="U8" s="109"/>
      <c r="V8" s="109"/>
      <c r="W8" s="109"/>
      <c r="X8" s="109"/>
      <c r="Y8" s="109"/>
      <c r="Z8" s="110"/>
      <c r="AC8" s="131"/>
    </row>
    <row r="9" spans="1:29" ht="14.1" customHeight="1" x14ac:dyDescent="0.25">
      <c r="A9" s="103" t="s">
        <v>381</v>
      </c>
      <c r="B9" s="100" t="str">
        <f>IF(基本情報!B11="","必須項目が未入力です！","")</f>
        <v>必須項目が未入力です！</v>
      </c>
      <c r="D9" s="45" t="s">
        <v>226</v>
      </c>
      <c r="E9" s="100" t="str">
        <f>IF(第１群!$B$61="","未選択","")</f>
        <v>未選択</v>
      </c>
      <c r="F9" s="101" t="str">
        <f>IF(AND(計算シート!N10=1,計算シート!M10=""),"特記なし","")</f>
        <v/>
      </c>
      <c r="H9" s="46" t="s">
        <v>257</v>
      </c>
      <c r="I9" s="100" t="str">
        <f>IF('第４群 '!$B$61="","未選択","")</f>
        <v>未選択</v>
      </c>
      <c r="J9" s="101" t="str">
        <f>IF(AND(計算シート!N44=1,計算シート!M44=""),"特記なし","")</f>
        <v/>
      </c>
      <c r="K9" s="97"/>
      <c r="R9" s="102">
        <v>7</v>
      </c>
      <c r="S9" s="113" t="str">
        <f>IF(AND(第１群!$B$43=4,第１群!B70=1),"「1-5座位保持」が「4.できない」にもかかわらず、「1-8立ち上がり」が「1.できる」","")</f>
        <v/>
      </c>
      <c r="T9" s="109"/>
      <c r="U9" s="109"/>
      <c r="V9" s="109"/>
      <c r="W9" s="109"/>
      <c r="X9" s="109"/>
      <c r="Y9" s="109"/>
      <c r="Z9" s="110"/>
      <c r="AC9" s="131"/>
    </row>
    <row r="10" spans="1:29" ht="14.1" customHeight="1" x14ac:dyDescent="0.25">
      <c r="A10" s="142" t="s">
        <v>382</v>
      </c>
      <c r="B10" s="100" t="str">
        <f>IF(基本情報!B12="","必須項目が未入力です！","")</f>
        <v>必須項目が未入力です！</v>
      </c>
      <c r="D10" s="45" t="s">
        <v>227</v>
      </c>
      <c r="E10" s="100" t="str">
        <f>IF(第１群!$B$70="","未選択","")</f>
        <v>未選択</v>
      </c>
      <c r="F10" s="101" t="str">
        <f>IF(AND(計算シート!N11=1,計算シート!M11=""),"特記なし","")</f>
        <v/>
      </c>
      <c r="H10" s="46" t="s">
        <v>258</v>
      </c>
      <c r="I10" s="100" t="str">
        <f>IF('第４群 '!$B$70="","未選択","")</f>
        <v>未選択</v>
      </c>
      <c r="J10" s="101" t="str">
        <f>IF(AND(計算シート!N45=1,計算シート!M45=""),"特記なし","")</f>
        <v/>
      </c>
      <c r="K10" s="97"/>
      <c r="R10" s="102">
        <v>8</v>
      </c>
      <c r="S10" s="113" t="str">
        <f>IF(AND(第１群!$B$43=4,第１群!B79=1),"「1-5座位保持」が「4.できない」にもかかわらず、「1-9片足での立位」が「1.できる」","")</f>
        <v/>
      </c>
      <c r="T10" s="109"/>
      <c r="U10" s="109"/>
      <c r="V10" s="109"/>
      <c r="W10" s="109"/>
      <c r="X10" s="109"/>
      <c r="Y10" s="109"/>
      <c r="Z10" s="110"/>
      <c r="AC10" s="131"/>
    </row>
    <row r="11" spans="1:29" ht="14.1" customHeight="1" x14ac:dyDescent="0.25">
      <c r="A11" s="103" t="s">
        <v>383</v>
      </c>
      <c r="B11" s="100" t="str">
        <f>IF(基本情報!B13="","必須項目が未入力です！","")</f>
        <v>必須項目が未入力です！</v>
      </c>
      <c r="D11" s="45" t="s">
        <v>228</v>
      </c>
      <c r="E11" s="100" t="str">
        <f>IF(第１群!$B$79="","未選択","")</f>
        <v>未選択</v>
      </c>
      <c r="F11" s="101" t="str">
        <f>IF(AND(計算シート!N12=1,計算シート!M12=""),"特記なし","")</f>
        <v/>
      </c>
      <c r="H11" s="46" t="s">
        <v>259</v>
      </c>
      <c r="I11" s="100" t="str">
        <f>IF('第４群 '!$B$79="","未選択","")</f>
        <v>未選択</v>
      </c>
      <c r="J11" s="101" t="str">
        <f>IF(AND(計算シート!N46=1,計算シート!M46=""),"特記なし","")</f>
        <v/>
      </c>
      <c r="K11" s="97"/>
      <c r="R11" s="102">
        <v>9</v>
      </c>
      <c r="S11" s="113" t="str">
        <f>IF(AND(第１群!$B$43=4,第１群!B88=1),"「1-5座位保持」が「4.できない」にもかかわらず、「1-10洗身」が「1.介助されていない」","")</f>
        <v/>
      </c>
      <c r="T11" s="109"/>
      <c r="U11" s="109"/>
      <c r="V11" s="109"/>
      <c r="W11" s="109"/>
      <c r="X11" s="109"/>
      <c r="Y11" s="109"/>
      <c r="Z11" s="110"/>
      <c r="AC11" s="131"/>
    </row>
    <row r="12" spans="1:29" ht="14.1" customHeight="1" x14ac:dyDescent="0.25">
      <c r="A12" s="103" t="s">
        <v>335</v>
      </c>
      <c r="B12" s="100" t="str">
        <f>IF(AND(基本情報!D14&lt;&gt;"",基本情報!F14&lt;&gt;"",基本情報!H14&lt;&gt;""),"","必須項目が未入力です！")</f>
        <v>必須項目が未入力です！</v>
      </c>
      <c r="D12" s="45" t="s">
        <v>229</v>
      </c>
      <c r="E12" s="100" t="str">
        <f>IF(第１群!$B$88="","未選択","")</f>
        <v>未選択</v>
      </c>
      <c r="F12" s="101" t="str">
        <f>IF(AND(計算シート!N13=1,計算シート!M13=""),"特記なし","")</f>
        <v/>
      </c>
      <c r="H12" s="46" t="s">
        <v>260</v>
      </c>
      <c r="I12" s="100" t="str">
        <f>IF('第４群 '!$B$88="","未選択","")</f>
        <v>未選択</v>
      </c>
      <c r="J12" s="101" t="str">
        <f>IF(AND(計算シート!N47=1,計算シート!M47=""),"特記なし","")</f>
        <v/>
      </c>
      <c r="K12" s="97"/>
      <c r="R12" s="102">
        <v>10</v>
      </c>
      <c r="S12" s="113" t="str">
        <f>IF(AND(第１群!$B$52=3,第１群!B61=1),"「1-6両足での立位」が「3.できない」にもかかわらず、「1-7歩行」が「1.できる」","")</f>
        <v/>
      </c>
      <c r="T12" s="109"/>
      <c r="U12" s="109"/>
      <c r="V12" s="109"/>
      <c r="W12" s="109"/>
      <c r="X12" s="109"/>
      <c r="Y12" s="109"/>
      <c r="Z12" s="110"/>
      <c r="AC12" s="131"/>
    </row>
    <row r="13" spans="1:29" ht="14.1" customHeight="1" x14ac:dyDescent="0.25">
      <c r="A13" s="103" t="s">
        <v>384</v>
      </c>
      <c r="B13" s="100" t="str">
        <f>IF(基本情報!B15="","必須項目が未入力です！","")</f>
        <v>必須項目が未入力です！</v>
      </c>
      <c r="D13" s="45" t="s">
        <v>230</v>
      </c>
      <c r="E13" s="100" t="str">
        <f>IF(第１群!$B$97="","未選択","")</f>
        <v>未選択</v>
      </c>
      <c r="F13" s="101" t="str">
        <f>IF(AND(計算シート!N14=1,計算シート!M14=""),"特記なし","")</f>
        <v/>
      </c>
      <c r="H13" s="46" t="s">
        <v>261</v>
      </c>
      <c r="I13" s="100" t="str">
        <f>IF('第４群 '!$B$97="","未選択","")</f>
        <v>未選択</v>
      </c>
      <c r="J13" s="101" t="str">
        <f>IF(AND(計算シート!N48=1,計算シート!M48=""),"特記なし","")</f>
        <v/>
      </c>
      <c r="K13" s="97"/>
      <c r="R13" s="102">
        <v>11</v>
      </c>
      <c r="S13" s="113" t="str">
        <f>IF(AND(第１群!$B$52=3,第１群!B70=1),"「1-6両足での立位」が「3.できない」にもかかわらず、「1-8立ち上がり」が「1.できる」","")</f>
        <v/>
      </c>
      <c r="T13" s="109"/>
      <c r="U13" s="109"/>
      <c r="V13" s="109"/>
      <c r="W13" s="109"/>
      <c r="X13" s="109"/>
      <c r="Y13" s="109"/>
      <c r="Z13" s="110"/>
      <c r="AC13" s="131"/>
    </row>
    <row r="14" spans="1:29" ht="14.1" customHeight="1" x14ac:dyDescent="0.25">
      <c r="A14" s="103" t="s">
        <v>1</v>
      </c>
      <c r="B14" s="100" t="str">
        <f>IF(基本情報!B16="","必須項目が未入力です！","")</f>
        <v>必須項目が未入力です！</v>
      </c>
      <c r="D14" s="45" t="s">
        <v>231</v>
      </c>
      <c r="E14" s="100" t="str">
        <f>IF(第１群!$B$106="","未選択","")</f>
        <v>未選択</v>
      </c>
      <c r="F14" s="101" t="str">
        <f>IF(AND(計算シート!N15=1,計算シート!M15=""),"特記なし","")</f>
        <v/>
      </c>
      <c r="H14" s="46" t="s">
        <v>262</v>
      </c>
      <c r="I14" s="100" t="str">
        <f>IF('第４群 '!$B$106="","未選択","")</f>
        <v>未選択</v>
      </c>
      <c r="J14" s="101" t="str">
        <f>IF(AND(計算シート!N49=1,計算シート!M49=""),"特記なし","")</f>
        <v/>
      </c>
      <c r="K14" s="97"/>
      <c r="R14" s="102">
        <v>12</v>
      </c>
      <c r="S14" s="113" t="str">
        <f>IF(AND(第１群!$B$52=3,第１群!B79=1),"「1-6両足での立位」が「3.できない」にもかかわらず、「1-9片足での立位」が「1.できる」","")</f>
        <v/>
      </c>
      <c r="T14" s="109"/>
      <c r="U14" s="109"/>
      <c r="V14" s="109"/>
      <c r="W14" s="109"/>
      <c r="X14" s="109"/>
      <c r="Y14" s="109"/>
      <c r="Z14" s="110"/>
      <c r="AC14" s="131"/>
    </row>
    <row r="15" spans="1:29" ht="14.1" customHeight="1" x14ac:dyDescent="0.25">
      <c r="A15" s="105" t="s">
        <v>311</v>
      </c>
      <c r="B15" s="100" t="str">
        <f>IF(基本情報!L2="","必須項目が未入力です！","")</f>
        <v>必須項目が未入力です！</v>
      </c>
      <c r="D15" s="45" t="s">
        <v>232</v>
      </c>
      <c r="E15" s="100" t="str">
        <f>IF(第１群!$B$115="","未選択","")</f>
        <v>未選択</v>
      </c>
      <c r="F15" s="101" t="str">
        <f>IF(AND(計算シート!N16=1,計算シート!M16=""),"特記なし","")</f>
        <v/>
      </c>
      <c r="H15" s="46" t="s">
        <v>263</v>
      </c>
      <c r="I15" s="100" t="str">
        <f>IF('第４群 '!$B$115="","未選択","")</f>
        <v>未選択</v>
      </c>
      <c r="J15" s="101" t="str">
        <f>IF(AND(計算シート!N50=1,計算シート!M50=""),"特記なし","")</f>
        <v/>
      </c>
      <c r="K15" s="97"/>
      <c r="R15" s="102">
        <v>13</v>
      </c>
      <c r="S15" s="113" t="str">
        <f>IF(AND(第１群!B61=1,第２群!B7=4),"「1-7歩行」が「1.できる」にもかかわらず、「2-1移乗」が「4.全介助」","")</f>
        <v/>
      </c>
      <c r="T15" s="109"/>
      <c r="U15" s="109"/>
      <c r="V15" s="109"/>
      <c r="W15" s="109"/>
      <c r="X15" s="109"/>
      <c r="Y15" s="109"/>
      <c r="Z15" s="110"/>
      <c r="AC15" s="131"/>
    </row>
    <row r="16" spans="1:29" ht="14.1" customHeight="1" x14ac:dyDescent="0.25">
      <c r="A16" s="105" t="s">
        <v>336</v>
      </c>
      <c r="B16" s="100" t="str">
        <f>IF(基本情報!M3&lt;&gt;"","選択施設が誤っています！","")</f>
        <v/>
      </c>
      <c r="D16" s="106" t="s">
        <v>340</v>
      </c>
      <c r="E16" s="149" t="s">
        <v>392</v>
      </c>
      <c r="F16" s="150" t="s">
        <v>393</v>
      </c>
      <c r="H16" s="46" t="s">
        <v>264</v>
      </c>
      <c r="I16" s="100" t="str">
        <f>IF('第４群 '!$B$124="","未選択","")</f>
        <v>未選択</v>
      </c>
      <c r="J16" s="101" t="str">
        <f>IF(AND(計算シート!N51=1,計算シート!M51=""),"特記なし","")</f>
        <v/>
      </c>
      <c r="K16" s="97"/>
      <c r="R16" s="102">
        <v>14</v>
      </c>
      <c r="S16" s="113" t="str">
        <f>IF(AND(第１群!B61=3,第１群!B79=1),"「1-7歩行」が「3.できない」にもかかわらず、「1-9片足での立位」が「1.できる」","")</f>
        <v/>
      </c>
      <c r="T16" s="109"/>
      <c r="U16" s="109"/>
      <c r="V16" s="109"/>
      <c r="W16" s="109"/>
      <c r="X16" s="109"/>
      <c r="Y16" s="109"/>
      <c r="Z16" s="110"/>
      <c r="AC16" s="131"/>
    </row>
    <row r="17" spans="1:29" ht="14.1" customHeight="1" x14ac:dyDescent="0.25">
      <c r="A17" s="265" t="s">
        <v>338</v>
      </c>
      <c r="B17" s="100" t="str">
        <f>IF(OR(基本情報!L6&gt;31,基本情報!L7&gt;31,基本情報!L8&gt;31,基本情報!L12&gt;31,基本情報!L13&gt;31,基本情報!L14&gt;31,基本情報!L15&gt;31,基本情報!L19&gt;31,基本情報!L22&gt;31,基本情報!L24&gt;31),"居宅サービス利用数が誤っています！","")</f>
        <v/>
      </c>
      <c r="D17" s="45" t="s">
        <v>233</v>
      </c>
      <c r="E17" s="100" t="str">
        <f>IF(第２群!$B$7="","未選択","")</f>
        <v>未選択</v>
      </c>
      <c r="F17" s="101" t="str">
        <f>IF(AND(計算シート!N17=1,計算シート!M17=""),"特記なし","")</f>
        <v/>
      </c>
      <c r="H17" s="46" t="s">
        <v>265</v>
      </c>
      <c r="I17" s="100" t="str">
        <f>IF('第４群 '!$B$133="","未選択","")</f>
        <v>未選択</v>
      </c>
      <c r="J17" s="101" t="str">
        <f>IF(AND(計算シート!N52=1,計算シート!M52=""),"特記なし","")</f>
        <v/>
      </c>
      <c r="K17" s="97"/>
      <c r="R17" s="102">
        <v>15</v>
      </c>
      <c r="S17" s="113" t="str">
        <f>IF(AND(第２群!B7=4,第１群!B79=1),"「2-1移乗」が「4.全介助」にもかかわらず、「1-9片足での立位」が「1.できる」","")</f>
        <v/>
      </c>
      <c r="T17" s="109"/>
      <c r="U17" s="109"/>
      <c r="V17" s="109"/>
      <c r="W17" s="109"/>
      <c r="X17" s="109"/>
      <c r="Y17" s="109"/>
      <c r="Z17" s="110"/>
      <c r="AC17" s="131"/>
    </row>
    <row r="18" spans="1:29" ht="14.1" customHeight="1" x14ac:dyDescent="0.25">
      <c r="A18" s="266"/>
      <c r="B18" s="101" t="str">
        <f>IF(OR(基本情報!$L$4&gt;100,基本情報!$L$5&gt;60,基本情報!$L$9&gt;100,基本情報!$L$10&gt;60,基本情報!$L$11&gt;60,基本情報!$L$16&gt;60,基本情報!$L$17&gt;60,基本情報!$L$18&gt;60,基本情報!$L$21&gt;60,基本情報!$L$23&gt;60),"居宅サービス利用数を確認してください","")</f>
        <v/>
      </c>
      <c r="D18" s="45" t="s">
        <v>234</v>
      </c>
      <c r="E18" s="100" t="str">
        <f>IF(第２群!$B$16="","未選択","")</f>
        <v>未選択</v>
      </c>
      <c r="F18" s="101" t="str">
        <f>IF(AND(計算シート!N18=1,計算シート!M18=""),"特記なし","")</f>
        <v/>
      </c>
      <c r="H18" s="106" t="s">
        <v>343</v>
      </c>
      <c r="I18" s="149" t="s">
        <v>392</v>
      </c>
      <c r="J18" s="150" t="s">
        <v>393</v>
      </c>
      <c r="K18" s="170"/>
      <c r="R18" s="102">
        <v>16</v>
      </c>
      <c r="S18" s="113" t="str">
        <f>IF(AND(第１群!B70=3,第１群!B79=1),"「1-8立ち上がり」が「3.できない」にもかかわらず、「1-9片足での立位」が「1.できる」","")</f>
        <v/>
      </c>
      <c r="T18" s="109"/>
      <c r="U18" s="109"/>
      <c r="V18" s="109"/>
      <c r="W18" s="109"/>
      <c r="X18" s="109"/>
      <c r="Y18" s="109"/>
      <c r="Z18" s="110"/>
      <c r="AC18" s="131"/>
    </row>
    <row r="19" spans="1:29" ht="14.1" customHeight="1" x14ac:dyDescent="0.25">
      <c r="A19" s="103" t="s">
        <v>337</v>
      </c>
      <c r="B19" s="100" t="str">
        <f>IF(基本情報!V3="","概況特記が未入力です！","")</f>
        <v>概況特記が未入力です！</v>
      </c>
      <c r="D19" s="45" t="s">
        <v>235</v>
      </c>
      <c r="E19" s="100" t="str">
        <f>IF(第２群!$B$25="","未選択","")</f>
        <v>未選択</v>
      </c>
      <c r="F19" s="101" t="str">
        <f>IF(AND(計算シート!N19=1,計算シート!M19=""),"特記なし","")</f>
        <v/>
      </c>
      <c r="H19" s="46" t="s">
        <v>266</v>
      </c>
      <c r="I19" s="100" t="str">
        <f>IF(第５群!$B$7="","未選択","")</f>
        <v>未選択</v>
      </c>
      <c r="J19" s="101" t="str">
        <f>IF(AND(計算シート!N53=1,計算シート!M53=""),"特記なし","")</f>
        <v/>
      </c>
      <c r="K19" s="97"/>
      <c r="R19" s="102">
        <v>17</v>
      </c>
      <c r="S19" s="113" t="str">
        <f>IF(AND(第２群!B25=3,第２群!B34=1),"「2-3えん下」が「3.できない」にもかかわらず、「2-4食事摂取」が「1.介助されていない」","")</f>
        <v/>
      </c>
      <c r="T19" s="109"/>
      <c r="U19" s="109"/>
      <c r="V19" s="109"/>
      <c r="W19" s="109"/>
      <c r="X19" s="109"/>
      <c r="Y19" s="109"/>
      <c r="Z19" s="110"/>
      <c r="AC19" s="131"/>
    </row>
    <row r="20" spans="1:29" ht="14.1" customHeight="1" x14ac:dyDescent="0.25">
      <c r="D20" s="45" t="s">
        <v>236</v>
      </c>
      <c r="E20" s="100" t="str">
        <f>IF(第２群!$B$34="","未選択","")</f>
        <v>未選択</v>
      </c>
      <c r="F20" s="101" t="str">
        <f>IF(AND(計算シート!N20=1,計算シート!M20=""),"特記なし","")</f>
        <v/>
      </c>
      <c r="H20" s="46" t="s">
        <v>267</v>
      </c>
      <c r="I20" s="100" t="str">
        <f>IF(第５群!$B$16="","未選択","")</f>
        <v>未選択</v>
      </c>
      <c r="J20" s="101" t="str">
        <f>IF(AND(計算シート!N54=1,計算シート!M54=""),"特記なし","")</f>
        <v/>
      </c>
      <c r="K20" s="97"/>
      <c r="R20" s="102">
        <v>18</v>
      </c>
      <c r="S20" s="113" t="str">
        <f>IF(AND(第２群!B25=3,第５群!B7=1),"「2-3えん下」が「3.できない」にもかかわらず、「5-1薬の内服」が「1.介助されていない」","")</f>
        <v/>
      </c>
      <c r="T20" s="109"/>
      <c r="U20" s="109"/>
      <c r="V20" s="109"/>
      <c r="W20" s="109"/>
      <c r="X20" s="109"/>
      <c r="Y20" s="109"/>
      <c r="Z20" s="110"/>
      <c r="AC20" s="131"/>
    </row>
    <row r="21" spans="1:29" ht="14.1" customHeight="1" x14ac:dyDescent="0.25">
      <c r="A21" s="135" t="s">
        <v>370</v>
      </c>
      <c r="B21" s="141">
        <f>COUNTIF(B3:B17,"=?*")+COUNTIF(B19,"=?*")</f>
        <v>14</v>
      </c>
      <c r="D21" s="45" t="s">
        <v>237</v>
      </c>
      <c r="E21" s="100" t="str">
        <f>IF(第２群!$B$43="","未選択","")</f>
        <v>未選択</v>
      </c>
      <c r="F21" s="101" t="str">
        <f>IF(AND(計算シート!N21=1,計算シート!M21=""),"特記なし","")</f>
        <v/>
      </c>
      <c r="H21" s="46" t="s">
        <v>268</v>
      </c>
      <c r="I21" s="100" t="str">
        <f>IF(第５群!$B$25="","未選択","")</f>
        <v>未選択</v>
      </c>
      <c r="J21" s="101" t="str">
        <f>IF(AND(計算シート!N55=1,計算シート!M55=""),"特記なし","")</f>
        <v/>
      </c>
      <c r="K21" s="97"/>
      <c r="R21" s="102">
        <v>19</v>
      </c>
      <c r="S21" s="113" t="str">
        <f>IF(AND(第１群!B97=1,'第４群 '!B97=3),"「1-11つめ切り」が「1.介助されていない」にもかかわらず、「4-11物や衣服を壊す」が「3.ある」","")</f>
        <v/>
      </c>
      <c r="T21" s="109"/>
      <c r="U21" s="109"/>
      <c r="V21" s="109"/>
      <c r="W21" s="109"/>
      <c r="X21" s="109"/>
      <c r="Y21" s="109"/>
      <c r="Z21" s="110"/>
      <c r="AC21" s="131"/>
    </row>
    <row r="22" spans="1:29" ht="14.1" customHeight="1" x14ac:dyDescent="0.25">
      <c r="A22" s="135" t="s">
        <v>371</v>
      </c>
      <c r="B22" s="141">
        <f>COUNTIF(B18,"=?*")</f>
        <v>0</v>
      </c>
      <c r="D22" s="45" t="s">
        <v>238</v>
      </c>
      <c r="E22" s="100" t="str">
        <f>IF(第２群!$B$52="","未選択","")</f>
        <v>未選択</v>
      </c>
      <c r="F22" s="101" t="str">
        <f>IF(AND(計算シート!N22=1,計算シート!M22=""),"特記なし","")</f>
        <v/>
      </c>
      <c r="H22" s="46" t="s">
        <v>269</v>
      </c>
      <c r="I22" s="100" t="str">
        <f>IF(第５群!$B$34="","未選択","")</f>
        <v>未選択</v>
      </c>
      <c r="J22" s="101" t="str">
        <f>IF(AND(計算シート!N56=1,計算シート!M56=""),"特記なし","")</f>
        <v/>
      </c>
      <c r="K22" s="97"/>
      <c r="R22" s="102">
        <v>20</v>
      </c>
      <c r="S22" s="113" t="str">
        <f>IF(AND(第５群!B7=1,'第４群 '!B97=3),"「5-1薬の内服」が「1.介助されていない」にもかかわらず、「4-11物や衣服を壊す」が「3.ある」","")</f>
        <v/>
      </c>
      <c r="T22" s="109"/>
      <c r="U22" s="109"/>
      <c r="V22" s="109"/>
      <c r="W22" s="109"/>
      <c r="X22" s="109"/>
      <c r="Y22" s="109"/>
      <c r="Z22" s="110"/>
      <c r="AC22" s="131"/>
    </row>
    <row r="23" spans="1:29" ht="14.1" customHeight="1" x14ac:dyDescent="0.25">
      <c r="D23" s="45" t="s">
        <v>239</v>
      </c>
      <c r="E23" s="100" t="str">
        <f>IF(第２群!$B$61="","未選択","")</f>
        <v>未選択</v>
      </c>
      <c r="F23" s="101" t="str">
        <f>IF(AND(計算シート!N23=1,計算シート!M23=""),"特記なし","")</f>
        <v/>
      </c>
      <c r="H23" s="46" t="s">
        <v>270</v>
      </c>
      <c r="I23" s="100" t="str">
        <f>IF(第５群!$B$43="","未選択","")</f>
        <v>未選択</v>
      </c>
      <c r="J23" s="101" t="str">
        <f>IF(AND(計算シート!N57=1,計算シート!M57=""),"特記なし","")</f>
        <v/>
      </c>
      <c r="K23" s="97"/>
      <c r="R23" s="102">
        <v>21</v>
      </c>
      <c r="S23" s="113" t="str">
        <f>IF(AND(第５群!$B$16=1,第３群!B70=3),"「5-2金銭の管理」が「1.介助されていない」にもかかわらず、「3-8徘徊」が「3.ある」","")</f>
        <v/>
      </c>
      <c r="T23" s="109"/>
      <c r="U23" s="109"/>
      <c r="V23" s="109"/>
      <c r="W23" s="109"/>
      <c r="X23" s="109"/>
      <c r="Y23" s="109"/>
      <c r="Z23" s="110"/>
      <c r="AC23" s="131"/>
    </row>
    <row r="24" spans="1:29" ht="14.1" customHeight="1" x14ac:dyDescent="0.25">
      <c r="D24" s="45" t="s">
        <v>240</v>
      </c>
      <c r="E24" s="100" t="str">
        <f>IF(第２群!$B$70="","未選択","")</f>
        <v>未選択</v>
      </c>
      <c r="F24" s="101" t="str">
        <f>IF(AND(計算シート!N24=1,計算シート!M24=""),"特記なし","")</f>
        <v/>
      </c>
      <c r="H24" s="46" t="s">
        <v>271</v>
      </c>
      <c r="I24" s="171" t="str">
        <f>IF(第５群!$B$52="","未選択","")</f>
        <v>未選択</v>
      </c>
      <c r="J24" s="172" t="str">
        <f>IF(AND(計算シート!N58=1,計算シート!M58=""),"特記なし","")</f>
        <v/>
      </c>
      <c r="K24" s="97"/>
      <c r="R24" s="102">
        <v>22</v>
      </c>
      <c r="S24" s="113" t="str">
        <f>IF(AND(第５群!$B$16=1,'第４群 '!B79=3),"「5-2金銭の管理」が「1.介助されていない」にもかかわらず、「4-9一人で出たがる」が「3.ある」","")</f>
        <v/>
      </c>
      <c r="T24" s="109"/>
      <c r="U24" s="109"/>
      <c r="V24" s="109"/>
      <c r="W24" s="109"/>
      <c r="X24" s="109"/>
      <c r="Y24" s="109"/>
      <c r="Z24" s="110"/>
      <c r="AC24" s="131"/>
    </row>
    <row r="25" spans="1:29" ht="14.1" customHeight="1" x14ac:dyDescent="0.25">
      <c r="D25" s="45" t="s">
        <v>241</v>
      </c>
      <c r="E25" s="100" t="str">
        <f>IF(第２群!$B$79="","未選択","")</f>
        <v>未選択</v>
      </c>
      <c r="F25" s="101" t="str">
        <f>IF(AND(計算シート!N25=1,計算シート!M25=""),"特記なし","")</f>
        <v/>
      </c>
      <c r="H25" s="107" t="s">
        <v>344</v>
      </c>
      <c r="I25" s="261" t="s">
        <v>393</v>
      </c>
      <c r="J25" s="261"/>
      <c r="K25" s="261"/>
      <c r="L25" s="173"/>
      <c r="R25" s="102">
        <v>23</v>
      </c>
      <c r="S25" s="113" t="str">
        <f>IF(AND(第５群!$B$16=1,'第４群 '!B88=3),"「5-2金銭の管理」が「1.介助されていない」にもかかわらず、「4-10収集癖」が「3.ある」","")</f>
        <v/>
      </c>
      <c r="T25" s="109"/>
      <c r="U25" s="109"/>
      <c r="V25" s="109"/>
      <c r="W25" s="109"/>
      <c r="X25" s="109"/>
      <c r="Y25" s="109"/>
      <c r="Z25" s="110"/>
      <c r="AC25" s="131"/>
    </row>
    <row r="26" spans="1:29" ht="14.1" customHeight="1" x14ac:dyDescent="0.25">
      <c r="D26" s="45" t="s">
        <v>242</v>
      </c>
      <c r="E26" s="100" t="str">
        <f>IF(第２群!$B$88="","未選択","")</f>
        <v>未選択</v>
      </c>
      <c r="F26" s="101" t="str">
        <f>IF(AND(計算シート!N26=1,計算シート!M26=""),"特記なし","")</f>
        <v/>
      </c>
      <c r="H26" s="174" t="s">
        <v>272</v>
      </c>
      <c r="I26" s="108" t="str">
        <f>IF(AND(計算シート!N59="レ",計算シート!M59=""),"特記事項を記入してください！！","")</f>
        <v/>
      </c>
      <c r="J26" s="109"/>
      <c r="K26" s="110"/>
      <c r="L26" s="97"/>
      <c r="R26" s="102">
        <v>24</v>
      </c>
      <c r="S26" s="113" t="str">
        <f>IF(AND(第５群!$B$16=1,'第４群 '!B97=3),"「5-2金銭の管理」が「1.介助されていない」にもかかわらず、「4-11物や衣服を壊す」が「3.ある」","")</f>
        <v/>
      </c>
      <c r="T26" s="109"/>
      <c r="U26" s="109"/>
      <c r="V26" s="109"/>
      <c r="W26" s="109"/>
      <c r="X26" s="109"/>
      <c r="Y26" s="109"/>
      <c r="Z26" s="110"/>
      <c r="AC26" s="131"/>
    </row>
    <row r="27" spans="1:29" ht="14.1" customHeight="1" x14ac:dyDescent="0.25">
      <c r="D27" s="45" t="s">
        <v>243</v>
      </c>
      <c r="E27" s="100" t="str">
        <f>IF(第２群!$B$97="","未選択","")</f>
        <v>未選択</v>
      </c>
      <c r="F27" s="101" t="str">
        <f>IF(AND(計算シート!N27=1,計算シート!M27=""),"特記なし","")</f>
        <v/>
      </c>
      <c r="H27" s="174" t="s">
        <v>273</v>
      </c>
      <c r="I27" s="108" t="str">
        <f>IF(AND(計算シート!N60="レ",計算シート!M60=""),"特記事項を記入してください！！","")</f>
        <v/>
      </c>
      <c r="J27" s="109"/>
      <c r="K27" s="110"/>
      <c r="L27" s="97"/>
      <c r="R27" s="102">
        <v>25</v>
      </c>
      <c r="S27" s="113" t="str">
        <f>IF(AND(第１群!B106=5,第３群!B7=1),"「1-12視力」が「5.判断不能」にもかかわらず、「3-1意思の伝達」が「1.できる」","")</f>
        <v/>
      </c>
      <c r="T27" s="109"/>
      <c r="U27" s="109"/>
      <c r="V27" s="109"/>
      <c r="W27" s="109"/>
      <c r="X27" s="109"/>
      <c r="Y27" s="109"/>
      <c r="Z27" s="110"/>
      <c r="AC27" s="131"/>
    </row>
    <row r="28" spans="1:29" ht="14.1" customHeight="1" x14ac:dyDescent="0.25">
      <c r="D28" s="45" t="s">
        <v>244</v>
      </c>
      <c r="E28" s="100" t="str">
        <f>IF(第２群!$B$106="","未選択","")</f>
        <v>未選択</v>
      </c>
      <c r="F28" s="101" t="str">
        <f>IF(AND(計算シート!N28=1,計算シート!M28=""),"特記なし","")</f>
        <v/>
      </c>
      <c r="H28" s="174" t="s">
        <v>274</v>
      </c>
      <c r="I28" s="108" t="str">
        <f>IF(AND(計算シート!N61="レ",計算シート!M61=""),"特記事項を記入してください！！","")</f>
        <v/>
      </c>
      <c r="J28" s="109"/>
      <c r="K28" s="110"/>
      <c r="L28" s="97"/>
      <c r="R28" s="102">
        <v>26</v>
      </c>
      <c r="S28" s="113" t="str">
        <f>IF(AND(第１群!B115=5,第３群!B7=1),"「1-13聴力」が「5.判断不能」にもかかわらず、「3-1意思の伝達」が「1.できる」","")</f>
        <v/>
      </c>
      <c r="T28" s="109"/>
      <c r="U28" s="109"/>
      <c r="V28" s="109"/>
      <c r="W28" s="109"/>
      <c r="X28" s="109"/>
      <c r="Y28" s="109"/>
      <c r="Z28" s="110"/>
      <c r="AC28" s="131"/>
    </row>
    <row r="29" spans="1:29" ht="14.1" customHeight="1" x14ac:dyDescent="0.25">
      <c r="D29" s="106" t="s">
        <v>341</v>
      </c>
      <c r="E29" s="149" t="s">
        <v>392</v>
      </c>
      <c r="F29" s="150" t="s">
        <v>393</v>
      </c>
      <c r="H29" s="174" t="s">
        <v>275</v>
      </c>
      <c r="I29" s="108" t="str">
        <f>IF(AND(計算シート!N62="レ",計算シート!M62=""),"特記事項を記入してください！！","")</f>
        <v/>
      </c>
      <c r="J29" s="109"/>
      <c r="K29" s="110"/>
      <c r="L29" s="97"/>
      <c r="R29" s="102">
        <v>27</v>
      </c>
      <c r="S29" s="113" t="str">
        <f>IF(AND(第１群!B106=5,AND(第３群!B52=1,第３群!B25=1,第３群!B16=1,第３群!B34=1,第３群!B61=1,第３群!B43=1)),"「1-12視力」が「5.判断不能」にもかかわらず、「3-2」「3-3」「3-4」「3-5」「3-6」「3-7」の6項目がいずれも「1.できる」","")</f>
        <v/>
      </c>
      <c r="T29" s="109"/>
      <c r="U29" s="109"/>
      <c r="V29" s="109"/>
      <c r="W29" s="109"/>
      <c r="X29" s="109"/>
      <c r="Y29" s="109"/>
      <c r="Z29" s="110"/>
      <c r="AC29" s="131"/>
    </row>
    <row r="30" spans="1:29" ht="14.1" customHeight="1" x14ac:dyDescent="0.25">
      <c r="D30" s="46" t="s">
        <v>245</v>
      </c>
      <c r="E30" s="100" t="str">
        <f>IF(第３群!$B$7="","未選択","")</f>
        <v>未選択</v>
      </c>
      <c r="F30" s="101" t="str">
        <f>IF(AND(計算シート!N29=1,計算シート!M29=""),"特記なし","")</f>
        <v/>
      </c>
      <c r="H30" s="174" t="s">
        <v>276</v>
      </c>
      <c r="I30" s="108" t="str">
        <f>IF(AND(計算シート!N63="レ",計算シート!M63=""),"特記事項を記入してください！！","")</f>
        <v/>
      </c>
      <c r="J30" s="109"/>
      <c r="K30" s="110"/>
      <c r="L30" s="97"/>
      <c r="R30" s="102">
        <v>28</v>
      </c>
      <c r="S30" s="113" t="str">
        <f>IF(AND(第１群!B115=5,AND(第３群!B52=1,第３群!B25=1,第３群!B16=1,第３群!B34=1,第３群!B61=1,第３群!B43=1)),"「1-13聴力」が「5.判断不能」にもかかわらず、「3-2」「3-3」「3-4」「3-5」「3-6」「3-7」の6項目がいずれも「1.できる」","")</f>
        <v/>
      </c>
      <c r="T30" s="109"/>
      <c r="U30" s="109"/>
      <c r="V30" s="109"/>
      <c r="W30" s="109"/>
      <c r="X30" s="109"/>
      <c r="Y30" s="109"/>
      <c r="Z30" s="110"/>
      <c r="AC30" s="131"/>
    </row>
    <row r="31" spans="1:29" ht="14.1" customHeight="1" x14ac:dyDescent="0.25">
      <c r="D31" s="46" t="s">
        <v>246</v>
      </c>
      <c r="E31" s="100" t="str">
        <f>IF(第３群!$B$16="","未選択","")</f>
        <v>未選択</v>
      </c>
      <c r="F31" s="101" t="str">
        <f>IF(AND(計算シート!N30=1,計算シート!M30=""),"特記なし","")</f>
        <v/>
      </c>
      <c r="H31" s="174" t="s">
        <v>277</v>
      </c>
      <c r="I31" s="108" t="str">
        <f>IF(AND(計算シート!N64="レ",計算シート!M64=""),"特記事項を記入してください！！","")</f>
        <v/>
      </c>
      <c r="J31" s="109"/>
      <c r="K31" s="110"/>
      <c r="L31" s="97"/>
      <c r="R31" s="102">
        <v>29</v>
      </c>
      <c r="S31" s="113" t="str">
        <f>IF(AND(第１群!B115=5,第５群!B25=1),"「1-13聴力」が「5.判断不能」にもかかわらず、「5-3日常の意思決定」が「1.できる」","")</f>
        <v/>
      </c>
      <c r="T31" s="109"/>
      <c r="U31" s="109"/>
      <c r="V31" s="109"/>
      <c r="W31" s="109"/>
      <c r="X31" s="109"/>
      <c r="Y31" s="109"/>
      <c r="Z31" s="110"/>
      <c r="AC31" s="131"/>
    </row>
    <row r="32" spans="1:29" ht="14.1" customHeight="1" x14ac:dyDescent="0.25">
      <c r="D32" s="46" t="s">
        <v>389</v>
      </c>
      <c r="E32" s="100" t="str">
        <f>IF(第３群!$B$25="","未選択","")</f>
        <v>未選択</v>
      </c>
      <c r="F32" s="101" t="str">
        <f>IF(AND(計算シート!N31=1,計算シート!M31=""),"特記なし","")</f>
        <v/>
      </c>
      <c r="H32" s="174" t="s">
        <v>278</v>
      </c>
      <c r="I32" s="108" t="str">
        <f>IF(AND(計算シート!N65="レ",計算シート!M65=""),"特記事項を記入してください！！","")</f>
        <v/>
      </c>
      <c r="J32" s="109"/>
      <c r="K32" s="110"/>
      <c r="L32" s="97"/>
      <c r="R32" s="102">
        <v>30</v>
      </c>
      <c r="S32" s="113" t="str">
        <f>IF(AND(第１群!B106=5,第５群!B25=1),"「1-12視力」が「5.判断不能」にもかかわらず、「5-3日常の意思決定」が「1.できる」","")</f>
        <v/>
      </c>
      <c r="T32" s="109"/>
      <c r="U32" s="109"/>
      <c r="V32" s="109"/>
      <c r="W32" s="109"/>
      <c r="X32" s="109"/>
      <c r="Y32" s="109"/>
      <c r="Z32" s="110"/>
      <c r="AC32" s="131"/>
    </row>
    <row r="33" spans="4:29" ht="14.1" customHeight="1" x14ac:dyDescent="0.25">
      <c r="D33" s="46" t="s">
        <v>247</v>
      </c>
      <c r="E33" s="100" t="str">
        <f>IF(第３群!$B$34="","未選択","")</f>
        <v>未選択</v>
      </c>
      <c r="F33" s="101" t="str">
        <f>IF(AND(計算シート!N32=1,計算シート!M32=""),"特記なし","")</f>
        <v/>
      </c>
      <c r="H33" s="174" t="s">
        <v>279</v>
      </c>
      <c r="I33" s="108" t="str">
        <f>IF(AND(計算シート!N66="レ",計算シート!M66=""),"特記事項を記入してください！！","")</f>
        <v/>
      </c>
      <c r="J33" s="109"/>
      <c r="K33" s="110"/>
      <c r="L33" s="97"/>
      <c r="R33" s="102">
        <v>31</v>
      </c>
      <c r="S33" s="113" t="str">
        <f>IF(AND(第１群!B115=5,第２群!B52=1),"「1-13聴力」が「5.判断不能」にもかかわらず、「2-6排便」が「1.介助されていない」","")</f>
        <v/>
      </c>
      <c r="T33" s="109"/>
      <c r="U33" s="109"/>
      <c r="V33" s="109"/>
      <c r="W33" s="109"/>
      <c r="X33" s="109"/>
      <c r="Y33" s="109"/>
      <c r="Z33" s="110"/>
      <c r="AC33" s="131"/>
    </row>
    <row r="34" spans="4:29" ht="14.1" customHeight="1" x14ac:dyDescent="0.25">
      <c r="D34" s="46" t="s">
        <v>248</v>
      </c>
      <c r="E34" s="100" t="str">
        <f>IF(第３群!$B$43="","未選択","")</f>
        <v>未選択</v>
      </c>
      <c r="F34" s="101" t="str">
        <f>IF(AND(計算シート!N33=1,計算シート!M33=""),"特記なし","")</f>
        <v/>
      </c>
      <c r="H34" s="174" t="s">
        <v>280</v>
      </c>
      <c r="I34" s="108" t="str">
        <f>IF(AND(計算シート!N67="レ",計算シート!M67=""),"特記事項を記入してください！！","")</f>
        <v/>
      </c>
      <c r="J34" s="109"/>
      <c r="K34" s="110"/>
      <c r="L34" s="97"/>
      <c r="R34" s="102">
        <v>32</v>
      </c>
      <c r="S34" s="113" t="str">
        <f>IF(AND(第３群!B7=4,第５群!B25=1),"「3-1意思の伝達」が「4.できない」にもかかわらず、「5-3日常の意思決定」が「1.できる」","")</f>
        <v/>
      </c>
      <c r="T34" s="109"/>
      <c r="U34" s="109"/>
      <c r="V34" s="109"/>
      <c r="W34" s="109"/>
      <c r="X34" s="109"/>
      <c r="Y34" s="109"/>
      <c r="Z34" s="110"/>
      <c r="AC34" s="131"/>
    </row>
    <row r="35" spans="4:29" ht="14.1" customHeight="1" x14ac:dyDescent="0.25">
      <c r="D35" s="46" t="s">
        <v>390</v>
      </c>
      <c r="E35" s="100" t="str">
        <f>IF(第３群!$B$52="","未選択","")</f>
        <v>未選択</v>
      </c>
      <c r="F35" s="101" t="str">
        <f>IF(AND(計算シート!N34=1,計算シート!M34=""),"特記なし","")</f>
        <v/>
      </c>
      <c r="H35" s="174" t="s">
        <v>281</v>
      </c>
      <c r="I35" s="108" t="str">
        <f>IF(AND(計算シート!N68="レ",計算シート!M68=""),"特記事項を記入してください！！","")</f>
        <v/>
      </c>
      <c r="J35" s="109"/>
      <c r="K35" s="110"/>
      <c r="L35" s="97"/>
      <c r="R35" s="102">
        <v>33</v>
      </c>
      <c r="S35" s="113" t="str">
        <f>IF(AND(第１群!B115=5,第２群!B43=1),"「1-13聴力」が「5.判断不能」にもかかわらず、「2-5排尿」が「1.介助されていない」","")</f>
        <v/>
      </c>
      <c r="T35" s="109"/>
      <c r="U35" s="109"/>
      <c r="V35" s="109"/>
      <c r="W35" s="109"/>
      <c r="X35" s="109"/>
      <c r="Y35" s="109"/>
      <c r="Z35" s="110"/>
      <c r="AC35" s="131"/>
    </row>
    <row r="36" spans="4:29" ht="14.1" customHeight="1" x14ac:dyDescent="0.25">
      <c r="D36" s="46" t="s">
        <v>249</v>
      </c>
      <c r="E36" s="100" t="str">
        <f>IF(第３群!$B$61="","未選択","")</f>
        <v>未選択</v>
      </c>
      <c r="F36" s="101" t="str">
        <f>IF(AND(計算シート!N35=1,計算シート!M35=""),"特記なし","")</f>
        <v/>
      </c>
      <c r="H36" s="174" t="s">
        <v>282</v>
      </c>
      <c r="I36" s="108" t="str">
        <f>IF(AND(計算シート!N69="レ",計算シート!M69=""),"特記事項を記入してください！！","")</f>
        <v/>
      </c>
      <c r="J36" s="109"/>
      <c r="K36" s="110"/>
      <c r="L36" s="97"/>
      <c r="R36" s="102">
        <v>34</v>
      </c>
      <c r="S36" s="113" t="str">
        <f>IF(AND(第１群!B115=5,第２群!B16=1),"「1-13聴力」が「5.判断不能」にもかかわらず、「2-2移動」が「1.介助されていない」","")</f>
        <v/>
      </c>
      <c r="T36" s="109"/>
      <c r="U36" s="109"/>
      <c r="V36" s="109"/>
      <c r="W36" s="109"/>
      <c r="X36" s="109"/>
      <c r="Y36" s="109"/>
      <c r="Z36" s="110"/>
      <c r="AC36" s="131"/>
    </row>
    <row r="37" spans="4:29" ht="14.1" customHeight="1" x14ac:dyDescent="0.25">
      <c r="D37" s="46" t="s">
        <v>250</v>
      </c>
      <c r="E37" s="100" t="str">
        <f>IF(第３群!$B$70="","未選択","")</f>
        <v>未選択</v>
      </c>
      <c r="F37" s="101" t="str">
        <f>IF(AND(計算シート!N36=1,計算シート!M36=""),"特記なし","")</f>
        <v/>
      </c>
      <c r="H37" s="174" t="s">
        <v>283</v>
      </c>
      <c r="I37" s="108" t="str">
        <f>IF(AND(計算シート!N70="レ",計算シート!M70=""),"特記事項を記入してください！！","")</f>
        <v/>
      </c>
      <c r="J37" s="109"/>
      <c r="K37" s="110"/>
      <c r="L37" s="97"/>
      <c r="R37" s="102">
        <v>35</v>
      </c>
      <c r="S37" s="113" t="str">
        <f>IF(AND('第４群 '!B97=3,第５群!B25=1),"「4-11物や衣類を壊す」が「3.ある」にもかかわらず、「5-3日常の意思決定」が「1.できる」","")</f>
        <v/>
      </c>
      <c r="T37" s="109"/>
      <c r="U37" s="109"/>
      <c r="V37" s="109"/>
      <c r="W37" s="109"/>
      <c r="X37" s="109"/>
      <c r="Y37" s="109"/>
      <c r="Z37" s="110"/>
      <c r="AC37" s="131"/>
    </row>
    <row r="38" spans="4:29" ht="14.1" customHeight="1" x14ac:dyDescent="0.25">
      <c r="D38" s="46" t="s">
        <v>391</v>
      </c>
      <c r="E38" s="100" t="str">
        <f>IF(第３群!$B$79="","未選択","")</f>
        <v>未選択</v>
      </c>
      <c r="F38" s="101" t="str">
        <f>IF(AND(計算シート!N37=1,計算シート!M37=""),"特記なし","")</f>
        <v/>
      </c>
      <c r="H38" s="98" t="s">
        <v>345</v>
      </c>
      <c r="I38" s="175" t="s">
        <v>392</v>
      </c>
      <c r="J38" s="262" t="s">
        <v>393</v>
      </c>
      <c r="K38" s="262"/>
      <c r="L38" s="263"/>
      <c r="M38" s="264" t="s">
        <v>396</v>
      </c>
      <c r="N38" s="264"/>
      <c r="O38" s="264"/>
      <c r="P38" s="173"/>
      <c r="R38" s="102">
        <v>36</v>
      </c>
      <c r="S38" s="113" t="str">
        <f>IF(AND(第３群!B43=2,第５群!B25=1),"「3-5自分の名前を言う」が「2.できない」にもかかわらず、「5-3日常の意思決定」が「1.できる」","")</f>
        <v/>
      </c>
      <c r="T38" s="109"/>
      <c r="U38" s="109"/>
      <c r="V38" s="109"/>
      <c r="W38" s="109"/>
      <c r="X38" s="109"/>
      <c r="Y38" s="109"/>
      <c r="Z38" s="110"/>
      <c r="AC38" s="131"/>
    </row>
    <row r="39" spans="4:29" ht="14.1" customHeight="1" x14ac:dyDescent="0.25">
      <c r="H39" s="111" t="s">
        <v>346</v>
      </c>
      <c r="I39" s="112" t="str">
        <f>IF('第６，７群 '!$L$7="","未選択","")</f>
        <v>未選択</v>
      </c>
      <c r="J39" s="108" t="str">
        <f>IF(計算シート!M71="","特記事項を記入してください！！","")</f>
        <v>特記事項を記入してください！！</v>
      </c>
      <c r="K39" s="109"/>
      <c r="L39" s="110"/>
      <c r="M39" s="113" t="str">
        <f>IF('第６，７群 '!S11="","","選択と特記内容を確認してください")</f>
        <v/>
      </c>
      <c r="N39" s="109"/>
      <c r="O39" s="110"/>
      <c r="P39" s="97"/>
      <c r="R39" s="102">
        <v>37</v>
      </c>
      <c r="S39" s="113" t="str">
        <f>IF(AND(第１群!B106=5,第２群!B52=1),"「1-12視力」が「5.判断不能」にもかかわらず、「2-6排便」が「1.介助されていない」","")</f>
        <v/>
      </c>
      <c r="T39" s="109"/>
      <c r="U39" s="109"/>
      <c r="V39" s="109"/>
      <c r="W39" s="109"/>
      <c r="X39" s="109"/>
      <c r="Y39" s="109"/>
      <c r="Z39" s="110"/>
      <c r="AC39" s="131"/>
    </row>
    <row r="40" spans="4:29" ht="14.1" customHeight="1" x14ac:dyDescent="0.25">
      <c r="D40" s="135"/>
      <c r="E40" s="135"/>
      <c r="H40" s="111" t="s">
        <v>431</v>
      </c>
      <c r="I40" s="112" t="str">
        <f>IF('第６，７群 '!$L$16="","未選択","")</f>
        <v>未選択</v>
      </c>
      <c r="J40" s="108" t="str">
        <f>IF(計算シート!M73="","特記事項を記入してください！！","")</f>
        <v>特記事項を記入してください！！</v>
      </c>
      <c r="K40" s="109"/>
      <c r="L40" s="110"/>
      <c r="M40" s="113" t="str">
        <f>IF('第６，７群 '!S20="","","選択と特記内容を確認してください")</f>
        <v/>
      </c>
      <c r="N40" s="109"/>
      <c r="O40" s="110"/>
      <c r="P40" s="97"/>
      <c r="R40" s="102">
        <v>38</v>
      </c>
      <c r="S40" s="113" t="str">
        <f>IF(AND(第１群!B106=5,第２群!B43=1),"「1-12視力」が「5.判断不能」にもかかわらず、「2-5排尿」が「1.介助されていない」","")</f>
        <v/>
      </c>
      <c r="T40" s="109"/>
      <c r="U40" s="109"/>
      <c r="V40" s="109"/>
      <c r="W40" s="109"/>
      <c r="X40" s="109"/>
      <c r="Y40" s="109"/>
      <c r="Z40" s="110"/>
      <c r="AC40" s="131"/>
    </row>
    <row r="41" spans="4:29" ht="14.1" customHeight="1" x14ac:dyDescent="0.25">
      <c r="D41" s="135" t="s">
        <v>370</v>
      </c>
      <c r="E41" s="141">
        <f>COUNTIF(E3:E15,"=?*")+COUNTIF(E17:E28,"=?*")+COUNTIF(E30:E38,"=?*")</f>
        <v>32</v>
      </c>
      <c r="R41" s="102">
        <v>39</v>
      </c>
      <c r="S41" s="113" t="str">
        <f>IF(AND(第１群!B106=5,第２群!B16=1),"「1-12視力」が「5.判断不能」にもかかわらず、「2-2移動」が「1.介助されていない」","")</f>
        <v/>
      </c>
      <c r="T41" s="109"/>
      <c r="U41" s="109"/>
      <c r="V41" s="109"/>
      <c r="W41" s="109"/>
      <c r="X41" s="109"/>
      <c r="Y41" s="109"/>
      <c r="Z41" s="110"/>
      <c r="AC41" s="131"/>
    </row>
    <row r="42" spans="4:29" ht="14.1" customHeight="1" x14ac:dyDescent="0.25">
      <c r="D42" s="135" t="s">
        <v>371</v>
      </c>
      <c r="E42" s="141">
        <f>COUNTIF(F3:F15,"=?*")+COUNTIF(F17:F28,"=?*")+COUNTIF(F30:F38,"=?*")</f>
        <v>0</v>
      </c>
      <c r="H42" s="135"/>
      <c r="I42" s="135"/>
      <c r="R42" s="102">
        <v>40</v>
      </c>
      <c r="S42" s="113" t="str">
        <f>IF(AND(第１群!B43=4,第５群!B43=1),"「1-5座位保持」が「4.できない」にもかかわらず、「5-5買い物」が「1.介助されていない」","")</f>
        <v/>
      </c>
      <c r="T42" s="109"/>
      <c r="U42" s="109"/>
      <c r="V42" s="109"/>
      <c r="W42" s="109"/>
      <c r="X42" s="109"/>
      <c r="Y42" s="109"/>
      <c r="Z42" s="110"/>
      <c r="AC42" s="131"/>
    </row>
    <row r="43" spans="4:29" ht="14.1" customHeight="1" x14ac:dyDescent="0.25">
      <c r="D43" s="134"/>
      <c r="E43" s="134"/>
      <c r="H43" s="135" t="s">
        <v>370</v>
      </c>
      <c r="I43" s="141">
        <f>COUNTIF(I3:I17,"=?*")+COUNTIF(I19:I24,"=?*")+COUNTIF(I26:I37,"=?*")+COUNTIF(I39:I40,"=?*")+COUNTIF(J39:J40,"=?*")+COUNTIF(N3,"=?*")</f>
        <v>25</v>
      </c>
      <c r="R43" s="102">
        <v>41</v>
      </c>
      <c r="S43" s="113" t="str">
        <f>IF(AND(第２群!B70=3,第５群!B43=1),"「2-8洗顔」が「3.全介助」にもかかわらず、「5-6簡単な調理」が「1.介助されていない」","")</f>
        <v/>
      </c>
      <c r="T43" s="109"/>
      <c r="U43" s="109"/>
      <c r="V43" s="109"/>
      <c r="W43" s="109"/>
      <c r="X43" s="109"/>
      <c r="Y43" s="109"/>
      <c r="Z43" s="110"/>
      <c r="AC43" s="131"/>
    </row>
    <row r="44" spans="4:29" ht="14.1" customHeight="1" x14ac:dyDescent="0.25">
      <c r="H44" s="135" t="s">
        <v>371</v>
      </c>
      <c r="I44" s="141">
        <f>COUNTIF(J3:J17,"=?*")+COUNTIF(J19:J24,"=?*")+COUNTIF(M39:M40,"=?*")</f>
        <v>0</v>
      </c>
      <c r="R44" s="102">
        <v>42</v>
      </c>
      <c r="S44" s="113" t="str">
        <f>IF(AND(第２群!B79=3,第５群!B52=1),"「2-9整髪」が「3.全介助」にもかかわらず、「5-6簡単な調理」が「1.介助されていない」","")</f>
        <v/>
      </c>
      <c r="T44" s="109"/>
      <c r="U44" s="109"/>
      <c r="V44" s="109"/>
      <c r="W44" s="109"/>
      <c r="X44" s="109"/>
      <c r="Y44" s="109"/>
      <c r="Z44" s="110"/>
      <c r="AC44" s="131"/>
    </row>
    <row r="45" spans="4:29" ht="14.1" customHeight="1" x14ac:dyDescent="0.25">
      <c r="H45" s="134"/>
      <c r="I45" s="134"/>
      <c r="R45" s="102">
        <v>43</v>
      </c>
      <c r="S45" s="113" t="str">
        <f>IF(AND(第５群!B16=3,第５群!B43=1),"「5-2金銭の管理」が「3.全介助」にもかかわらず、「5-5買い物」が「1.介助されていない」","")</f>
        <v/>
      </c>
      <c r="T45" s="109"/>
      <c r="U45" s="109"/>
      <c r="V45" s="109"/>
      <c r="W45" s="109"/>
      <c r="X45" s="109"/>
      <c r="Y45" s="109"/>
      <c r="Z45" s="110"/>
      <c r="AC45" s="131"/>
    </row>
    <row r="46" spans="4:29" ht="14.1" customHeight="1" x14ac:dyDescent="0.25">
      <c r="R46" s="102">
        <v>44</v>
      </c>
      <c r="S46" s="113" t="str">
        <f>IF(AND(第５群!B25=4,第５群!B43=1),"「5-3日常の意思決定」が「4.できない」にもかかわらず、「5-5買い物」が「1.介助されていない」","")</f>
        <v/>
      </c>
      <c r="T46" s="109"/>
      <c r="U46" s="109"/>
      <c r="V46" s="109"/>
      <c r="W46" s="109"/>
      <c r="X46" s="109"/>
      <c r="Y46" s="109"/>
      <c r="Z46" s="110"/>
      <c r="AC46" s="131"/>
    </row>
    <row r="47" spans="4:29" ht="14.1" customHeight="1" x14ac:dyDescent="0.25">
      <c r="R47" s="102">
        <v>45</v>
      </c>
      <c r="S47" s="113" t="str">
        <f>IF(AND(第３群!B7=4,第５群!B43=1),"「3-1意思の伝達」が「4.できない」にもかかわらず、「5-5買い物」が「1.介助されていない」","")</f>
        <v/>
      </c>
      <c r="T47" s="109"/>
      <c r="U47" s="109"/>
      <c r="V47" s="109"/>
      <c r="W47" s="109"/>
      <c r="X47" s="109"/>
      <c r="Y47" s="109"/>
      <c r="Z47" s="110"/>
      <c r="AC47" s="131"/>
    </row>
    <row r="48" spans="4:29" ht="14.1" customHeight="1" x14ac:dyDescent="0.25">
      <c r="R48" s="102">
        <v>46</v>
      </c>
      <c r="S48" s="113" t="str">
        <f>IF(AND('第４群 '!B97=3,'第４群 '!B124=1),"「4-11物や衣類を壊す」が「3.ある」にもかかわらず、「4-14自分勝手に行動する」が「1.ない」","")</f>
        <v/>
      </c>
      <c r="T48" s="109"/>
      <c r="U48" s="109"/>
      <c r="V48" s="109"/>
      <c r="W48" s="109"/>
      <c r="X48" s="109"/>
      <c r="Y48" s="109"/>
      <c r="Z48" s="110"/>
      <c r="AC48" s="131"/>
    </row>
    <row r="49" spans="1:29" ht="14.1" customHeight="1" x14ac:dyDescent="0.25">
      <c r="R49" s="102">
        <v>47</v>
      </c>
      <c r="S49" s="113" t="str">
        <f>IF(AND(第１群!B25=3,第１群!B34=1),"「1-3寝返り」が「3.できない」にもかかわらず、「1-4起き上がり」が「1.できる」","")</f>
        <v/>
      </c>
      <c r="T49" s="109"/>
      <c r="U49" s="109"/>
      <c r="V49" s="109"/>
      <c r="W49" s="109"/>
      <c r="X49" s="109"/>
      <c r="Y49" s="109"/>
      <c r="Z49" s="110"/>
      <c r="AC49" s="131"/>
    </row>
    <row r="50" spans="1:29" ht="14.1" customHeight="1" x14ac:dyDescent="0.25">
      <c r="R50" s="102">
        <v>48</v>
      </c>
      <c r="S50" s="113" t="str">
        <f>IF(AND(第１群!B25=3,第１群!B70=1),"「1-3寝返り」が「3.できない」にもかかわらず、「1-8立ち上がり」が「1.できる」","")</f>
        <v/>
      </c>
      <c r="T50" s="109"/>
      <c r="U50" s="109"/>
      <c r="V50" s="109"/>
      <c r="W50" s="109"/>
      <c r="X50" s="109"/>
      <c r="Y50" s="109"/>
      <c r="Z50" s="110"/>
      <c r="AC50" s="131"/>
    </row>
    <row r="51" spans="1:29" ht="14.1" customHeight="1" x14ac:dyDescent="0.25">
      <c r="R51" s="102">
        <v>49</v>
      </c>
      <c r="S51" s="113" t="str">
        <f>IF(AND(第１群!B34=1,第１群!B43=4),"「1-4起き上がり」が「1.できる」にもかかわらず、「1-5座位保持」が「4.できない」","")</f>
        <v/>
      </c>
      <c r="T51" s="109"/>
      <c r="U51" s="109"/>
      <c r="V51" s="109"/>
      <c r="W51" s="109"/>
      <c r="X51" s="109"/>
      <c r="Y51" s="109"/>
      <c r="Z51" s="110"/>
      <c r="AC51" s="131"/>
    </row>
    <row r="52" spans="1:29" ht="14.1" customHeight="1" x14ac:dyDescent="0.25">
      <c r="R52" s="102">
        <v>50</v>
      </c>
      <c r="S52" s="113" t="str">
        <f>IF(AND(第１群!B61=1,第２群!B34=4),"「1-7歩行」が「1.できる」にもかかわらず、「2-2移動」が「4.全介助」","")</f>
        <v/>
      </c>
      <c r="T52" s="109"/>
      <c r="U52" s="109"/>
      <c r="V52" s="109"/>
      <c r="W52" s="109"/>
      <c r="X52" s="109"/>
      <c r="Y52" s="109"/>
      <c r="Z52" s="110"/>
      <c r="AC52" s="131"/>
    </row>
    <row r="53" spans="1:29" ht="14.1" customHeight="1" x14ac:dyDescent="0.25">
      <c r="R53" s="102">
        <v>51</v>
      </c>
      <c r="S53" s="113" t="str">
        <f>IF(AND(第２群!B7=4,第１群!B70=1),"「2-1移乗」が「4.全介助」にもかかわらず、「1-8立ち上がり」が「1.できる」","")</f>
        <v/>
      </c>
      <c r="T53" s="109"/>
      <c r="U53" s="109"/>
      <c r="V53" s="109"/>
      <c r="W53" s="109"/>
      <c r="X53" s="109"/>
      <c r="Y53" s="109"/>
      <c r="Z53" s="110"/>
      <c r="AC53" s="131"/>
    </row>
    <row r="54" spans="1:29" ht="14.1" customHeight="1" x14ac:dyDescent="0.25">
      <c r="R54" s="102">
        <v>52</v>
      </c>
      <c r="S54" s="113" t="str">
        <f>IF(AND(第１群!B88=1,第２群!B70=3),"「1-10洗身」が「1.介助されていない」にもかかわらず、「2-8洗顔」が「3.全介助」","")</f>
        <v/>
      </c>
      <c r="T54" s="109"/>
      <c r="U54" s="109"/>
      <c r="V54" s="109"/>
      <c r="W54" s="109"/>
      <c r="X54" s="109"/>
      <c r="Y54" s="109"/>
      <c r="Z54" s="110"/>
      <c r="AC54" s="131"/>
    </row>
    <row r="55" spans="1:29" ht="14.1" customHeight="1" x14ac:dyDescent="0.25">
      <c r="R55" s="102">
        <v>53</v>
      </c>
      <c r="S55" s="113" t="str">
        <f>IF(AND(第１群!B88=1,第２群!B88=4),"「1-10洗身」が「1.介助されていない」にもかかわらず、「2-10上衣着脱」が「4.全介助」","")</f>
        <v/>
      </c>
      <c r="T55" s="109"/>
      <c r="U55" s="109"/>
      <c r="V55" s="109"/>
      <c r="W55" s="109"/>
      <c r="X55" s="109"/>
      <c r="Y55" s="109"/>
      <c r="Z55" s="110"/>
      <c r="AC55" s="131"/>
    </row>
    <row r="56" spans="1:29" ht="14.1" customHeight="1" x14ac:dyDescent="0.25">
      <c r="R56" s="102">
        <v>54</v>
      </c>
      <c r="S56" s="113" t="str">
        <f>IF(AND(第１群!B88=1,第２群!B97=4),"「1-10洗身」が「1.介助されていない」にもかかわらず、「2-11ズボン着脱」が「4.全介助」","")</f>
        <v/>
      </c>
      <c r="T56" s="109"/>
      <c r="U56" s="109"/>
      <c r="V56" s="109"/>
      <c r="W56" s="109"/>
      <c r="X56" s="109"/>
      <c r="Y56" s="109"/>
      <c r="Z56" s="110"/>
      <c r="AC56" s="131"/>
    </row>
    <row r="57" spans="1:29" ht="14.1" customHeight="1" x14ac:dyDescent="0.25">
      <c r="R57" s="102">
        <v>55</v>
      </c>
      <c r="S57" s="113" t="str">
        <f>IF(AND(第２群!B70=3,第１群!B97=1),"「2-8洗顔」が「3.全介助」にもかかわらず、「1-11つめ切り」が「1.介助されていない」","")</f>
        <v/>
      </c>
      <c r="T57" s="109"/>
      <c r="U57" s="109"/>
      <c r="V57" s="109"/>
      <c r="W57" s="109"/>
      <c r="X57" s="109"/>
      <c r="Y57" s="109"/>
      <c r="Z57" s="110"/>
      <c r="AC57" s="131"/>
    </row>
    <row r="58" spans="1:29" ht="14.1" customHeight="1" x14ac:dyDescent="0.25">
      <c r="R58" s="102">
        <v>56</v>
      </c>
      <c r="S58" s="113" t="str">
        <f>IF(AND(第１群!B97=1,第１群!B106=5),"「1-11つめ切り」が「1.介助されていない」にもかかわらず、「1-12視力」が「5.判断不能」","")</f>
        <v/>
      </c>
      <c r="T58" s="109"/>
      <c r="U58" s="109"/>
      <c r="V58" s="109"/>
      <c r="W58" s="109"/>
      <c r="X58" s="109"/>
      <c r="Y58" s="109"/>
      <c r="Z58" s="110"/>
      <c r="AC58" s="131"/>
    </row>
    <row r="59" spans="1:29" ht="14.1" customHeight="1" x14ac:dyDescent="0.25">
      <c r="R59" s="102">
        <v>57</v>
      </c>
      <c r="S59" s="113" t="str">
        <f>IF(AND(第２群!B88=4,第２群!B97=1),"「2-10上衣着脱」が「4.全介助」にもかかわらず、「2-11ズボン着脱」が「1.介助されていない」","")</f>
        <v/>
      </c>
      <c r="T59" s="109"/>
      <c r="U59" s="109"/>
      <c r="V59" s="109"/>
      <c r="W59" s="109"/>
      <c r="X59" s="109"/>
      <c r="Y59" s="109"/>
      <c r="Z59" s="110"/>
      <c r="AC59" s="131"/>
    </row>
    <row r="60" spans="1:29" ht="14.1" customHeight="1" x14ac:dyDescent="0.25">
      <c r="R60" s="135"/>
      <c r="S60" s="135"/>
      <c r="T60" s="135"/>
      <c r="AC60" s="131"/>
    </row>
    <row r="61" spans="1:29" ht="14.1" customHeight="1" x14ac:dyDescent="0.25">
      <c r="A61" s="96"/>
      <c r="R61" s="135" t="s">
        <v>371</v>
      </c>
      <c r="S61" s="141">
        <f>COUNTIF(S3:S59,"=?*")</f>
        <v>0</v>
      </c>
      <c r="T61" s="135"/>
      <c r="AC61" s="131"/>
    </row>
    <row r="62" spans="1:29" ht="14.1" customHeight="1" x14ac:dyDescent="0.25">
      <c r="A62" s="131"/>
      <c r="B62" s="131"/>
      <c r="C62" s="131"/>
      <c r="D62" s="131"/>
      <c r="E62" s="132"/>
      <c r="F62" s="133"/>
      <c r="G62" s="131"/>
      <c r="H62" s="131"/>
      <c r="I62" s="132"/>
      <c r="J62" s="131"/>
      <c r="K62" s="131"/>
      <c r="L62" s="131"/>
      <c r="M62" s="131"/>
      <c r="N62" s="131"/>
      <c r="O62" s="131"/>
      <c r="P62" s="131"/>
      <c r="Q62" s="131"/>
      <c r="R62" s="131"/>
      <c r="S62" s="131"/>
      <c r="T62" s="131"/>
      <c r="U62" s="131"/>
      <c r="V62" s="131"/>
      <c r="W62" s="131"/>
      <c r="X62" s="131"/>
      <c r="Y62" s="131"/>
      <c r="Z62" s="131"/>
      <c r="AA62" s="131"/>
      <c r="AB62" s="131"/>
      <c r="AC62" s="131"/>
    </row>
  </sheetData>
  <mergeCells count="6">
    <mergeCell ref="R2:Z2"/>
    <mergeCell ref="I25:K25"/>
    <mergeCell ref="J38:L38"/>
    <mergeCell ref="M38:O38"/>
    <mergeCell ref="A2:B2"/>
    <mergeCell ref="A17:A18"/>
  </mergeCells>
  <phoneticPr fontId="1"/>
  <conditionalFormatting sqref="A16:A17">
    <cfRule type="expression" dxfId="0" priority="5">
      <formula>$J$2=3</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基本情報</vt:lpstr>
      <vt:lpstr>第１群</vt:lpstr>
      <vt:lpstr>第２群</vt:lpstr>
      <vt:lpstr>第３群</vt:lpstr>
      <vt:lpstr>第４群 </vt:lpstr>
      <vt:lpstr>第５群</vt:lpstr>
      <vt:lpstr>第６，７群 </vt:lpstr>
      <vt:lpstr>計算シート</vt:lpstr>
      <vt:lpstr>エラー</vt:lpstr>
      <vt:lpstr>印刷</vt:lpstr>
      <vt:lpstr>訪問調査票</vt:lpstr>
      <vt:lpstr>特記事項</vt:lpstr>
      <vt:lpstr>使用方法</vt:lpstr>
      <vt:lpstr>訪問調査票!Print_Area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山田 美里</cp:lastModifiedBy>
  <cp:lastPrinted>2021-02-12T02:59:25Z</cp:lastPrinted>
  <dcterms:modified xsi:type="dcterms:W3CDTF">2024-04-01T02:06:02Z</dcterms:modified>
</cp:coreProperties>
</file>